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755" tabRatio="835"/>
  </bookViews>
  <sheets>
    <sheet name="Příjmy 2015 shrnutí" sheetId="3" r:id="rId1"/>
    <sheet name="Příjmy 2015 - podrobně" sheetId="6" r:id="rId2"/>
    <sheet name="Výdaje 2015 - shrnutí" sheetId="2" r:id="rId3"/>
    <sheet name="Plán investic 2015" sheetId="53" state="hidden" r:id="rId4"/>
    <sheet name="Výdaje podrobně a dohromady" sheetId="56" r:id="rId5"/>
  </sheets>
  <calcPr calcId="125725"/>
</workbook>
</file>

<file path=xl/calcChain.xml><?xml version="1.0" encoding="utf-8"?>
<calcChain xmlns="http://schemas.openxmlformats.org/spreadsheetml/2006/main">
  <c r="A3" i="56"/>
  <c r="A1" i="2"/>
  <c r="A1" i="6"/>
  <c r="F58" i="2"/>
  <c r="D58" s="1"/>
  <c r="F57"/>
  <c r="F56"/>
  <c r="D56" s="1"/>
  <c r="C58"/>
  <c r="H58" s="1"/>
  <c r="C57"/>
  <c r="H57" s="1"/>
  <c r="C56"/>
  <c r="B58"/>
  <c r="B57"/>
  <c r="G57" s="1"/>
  <c r="B56"/>
  <c r="C54"/>
  <c r="B54"/>
  <c r="C53"/>
  <c r="B53"/>
  <c r="C52"/>
  <c r="B52"/>
  <c r="C51"/>
  <c r="B51"/>
  <c r="C50"/>
  <c r="B50"/>
  <c r="E49"/>
  <c r="C49"/>
  <c r="B49"/>
  <c r="C46"/>
  <c r="B46"/>
  <c r="E45"/>
  <c r="C45"/>
  <c r="B45"/>
  <c r="E44"/>
  <c r="C44"/>
  <c r="B44"/>
  <c r="C42"/>
  <c r="B42"/>
  <c r="C41"/>
  <c r="B41"/>
  <c r="C40"/>
  <c r="B40"/>
  <c r="C39"/>
  <c r="B39"/>
  <c r="C38"/>
  <c r="B38"/>
  <c r="E37"/>
  <c r="C37"/>
  <c r="B37"/>
  <c r="C36"/>
  <c r="B36"/>
  <c r="F35"/>
  <c r="E35"/>
  <c r="C35"/>
  <c r="H35" s="1"/>
  <c r="B35"/>
  <c r="F34"/>
  <c r="E34"/>
  <c r="C34"/>
  <c r="B34"/>
  <c r="F33"/>
  <c r="E33"/>
  <c r="C33"/>
  <c r="H33" s="1"/>
  <c r="B33"/>
  <c r="G33" s="1"/>
  <c r="C32"/>
  <c r="B32"/>
  <c r="P286" i="56"/>
  <c r="P287"/>
  <c r="P288"/>
  <c r="R348"/>
  <c r="E31" i="2"/>
  <c r="C31"/>
  <c r="B31"/>
  <c r="F30"/>
  <c r="E30"/>
  <c r="C30"/>
  <c r="B30"/>
  <c r="E29"/>
  <c r="C29"/>
  <c r="B29"/>
  <c r="C28"/>
  <c r="B28"/>
  <c r="F27"/>
  <c r="E27"/>
  <c r="C27"/>
  <c r="B27"/>
  <c r="C26"/>
  <c r="B26"/>
  <c r="C25"/>
  <c r="B25"/>
  <c r="C24"/>
  <c r="B24"/>
  <c r="P273" i="56"/>
  <c r="P274"/>
  <c r="P275"/>
  <c r="C23" i="2"/>
  <c r="B23"/>
  <c r="C22"/>
  <c r="B22"/>
  <c r="D57"/>
  <c r="E55"/>
  <c r="D47"/>
  <c r="D48"/>
  <c r="B21"/>
  <c r="B20"/>
  <c r="B19"/>
  <c r="B18"/>
  <c r="B17"/>
  <c r="B16"/>
  <c r="E16"/>
  <c r="E15" s="1"/>
  <c r="B14"/>
  <c r="B13"/>
  <c r="B12"/>
  <c r="B11"/>
  <c r="B10"/>
  <c r="B9"/>
  <c r="B8"/>
  <c r="B7"/>
  <c r="B6"/>
  <c r="B5"/>
  <c r="B4"/>
  <c r="H47"/>
  <c r="H48"/>
  <c r="G47"/>
  <c r="G48"/>
  <c r="E12"/>
  <c r="E10"/>
  <c r="E7"/>
  <c r="C8"/>
  <c r="E57" i="56"/>
  <c r="F57"/>
  <c r="G57"/>
  <c r="H57"/>
  <c r="I57"/>
  <c r="J57"/>
  <c r="K57"/>
  <c r="L57"/>
  <c r="M57"/>
  <c r="N57"/>
  <c r="O57"/>
  <c r="D57"/>
  <c r="P56"/>
  <c r="P57" s="1"/>
  <c r="F8" i="2" s="1"/>
  <c r="O366" i="56"/>
  <c r="N366"/>
  <c r="M366"/>
  <c r="L366"/>
  <c r="K366"/>
  <c r="J366"/>
  <c r="I366"/>
  <c r="H366"/>
  <c r="G366"/>
  <c r="F366"/>
  <c r="E366"/>
  <c r="D366"/>
  <c r="P365"/>
  <c r="R365" s="1"/>
  <c r="E341"/>
  <c r="F341"/>
  <c r="G341"/>
  <c r="H341"/>
  <c r="I341"/>
  <c r="J341"/>
  <c r="K341"/>
  <c r="L341"/>
  <c r="M341"/>
  <c r="N341"/>
  <c r="O341"/>
  <c r="D341"/>
  <c r="Q340"/>
  <c r="P340"/>
  <c r="R340" s="1"/>
  <c r="F213"/>
  <c r="P213" s="1"/>
  <c r="R213" s="1"/>
  <c r="P222"/>
  <c r="Q222" s="1"/>
  <c r="F207"/>
  <c r="P207" s="1"/>
  <c r="Q207" s="1"/>
  <c r="P212"/>
  <c r="R212" s="1"/>
  <c r="F195"/>
  <c r="P195" s="1"/>
  <c r="Q195" s="1"/>
  <c r="F194"/>
  <c r="F192"/>
  <c r="E223"/>
  <c r="D223"/>
  <c r="C21" i="2"/>
  <c r="P251" i="56"/>
  <c r="Q251" s="1"/>
  <c r="P243"/>
  <c r="R243" s="1"/>
  <c r="P244"/>
  <c r="Q244" s="1"/>
  <c r="P245"/>
  <c r="R245" s="1"/>
  <c r="P246"/>
  <c r="R246" s="1"/>
  <c r="P237"/>
  <c r="R237" s="1"/>
  <c r="P238"/>
  <c r="Q238" s="1"/>
  <c r="P227"/>
  <c r="R227" s="1"/>
  <c r="P228"/>
  <c r="Q228" s="1"/>
  <c r="P229"/>
  <c r="Q229" s="1"/>
  <c r="P230"/>
  <c r="R230" s="1"/>
  <c r="P231"/>
  <c r="R231" s="1"/>
  <c r="P232"/>
  <c r="Q232" s="1"/>
  <c r="E256"/>
  <c r="F256"/>
  <c r="G256"/>
  <c r="H256"/>
  <c r="I256"/>
  <c r="J256"/>
  <c r="K256"/>
  <c r="L256"/>
  <c r="M256"/>
  <c r="N256"/>
  <c r="O256"/>
  <c r="E252"/>
  <c r="C20" i="2" s="1"/>
  <c r="F252" i="56"/>
  <c r="G252"/>
  <c r="H252"/>
  <c r="I252"/>
  <c r="J252"/>
  <c r="K252"/>
  <c r="L252"/>
  <c r="M252"/>
  <c r="N252"/>
  <c r="O252"/>
  <c r="E247"/>
  <c r="C19" i="2" s="1"/>
  <c r="F247" i="56"/>
  <c r="G247"/>
  <c r="H247"/>
  <c r="I247"/>
  <c r="J247"/>
  <c r="K247"/>
  <c r="L247"/>
  <c r="M247"/>
  <c r="N247"/>
  <c r="O247"/>
  <c r="E239"/>
  <c r="C18" i="2" s="1"/>
  <c r="F239" i="56"/>
  <c r="G239"/>
  <c r="H239"/>
  <c r="I239"/>
  <c r="J239"/>
  <c r="K239"/>
  <c r="L239"/>
  <c r="M239"/>
  <c r="N239"/>
  <c r="O239"/>
  <c r="E233"/>
  <c r="C17" i="2" s="1"/>
  <c r="F233" i="56"/>
  <c r="G233"/>
  <c r="H233"/>
  <c r="I233"/>
  <c r="J233"/>
  <c r="K233"/>
  <c r="L233"/>
  <c r="M233"/>
  <c r="N233"/>
  <c r="O233"/>
  <c r="P255"/>
  <c r="R255" s="1"/>
  <c r="P250"/>
  <c r="R250" s="1"/>
  <c r="P242"/>
  <c r="R242" s="1"/>
  <c r="Q236"/>
  <c r="P236"/>
  <c r="R236" s="1"/>
  <c r="P226"/>
  <c r="R226" s="1"/>
  <c r="P193"/>
  <c r="R193" s="1"/>
  <c r="P194"/>
  <c r="Q194" s="1"/>
  <c r="P196"/>
  <c r="R196" s="1"/>
  <c r="P197"/>
  <c r="R197" s="1"/>
  <c r="P198"/>
  <c r="Q198" s="1"/>
  <c r="P199"/>
  <c r="Q199" s="1"/>
  <c r="P200"/>
  <c r="R200" s="1"/>
  <c r="P201"/>
  <c r="R201" s="1"/>
  <c r="P202"/>
  <c r="Q202" s="1"/>
  <c r="P203"/>
  <c r="Q203" s="1"/>
  <c r="P204"/>
  <c r="R204" s="1"/>
  <c r="P205"/>
  <c r="Q205" s="1"/>
  <c r="R205"/>
  <c r="P206"/>
  <c r="Q206" s="1"/>
  <c r="P208"/>
  <c r="R208" s="1"/>
  <c r="P209"/>
  <c r="R209" s="1"/>
  <c r="P210"/>
  <c r="Q210" s="1"/>
  <c r="P211"/>
  <c r="Q211" s="1"/>
  <c r="P214"/>
  <c r="R214" s="1"/>
  <c r="P215"/>
  <c r="Q215" s="1"/>
  <c r="P216"/>
  <c r="Q216" s="1"/>
  <c r="P217"/>
  <c r="R217" s="1"/>
  <c r="P218"/>
  <c r="R218" s="1"/>
  <c r="P219"/>
  <c r="Q219" s="1"/>
  <c r="P220"/>
  <c r="Q220" s="1"/>
  <c r="P221"/>
  <c r="R221" s="1"/>
  <c r="C16" i="2"/>
  <c r="G223" i="56"/>
  <c r="H223"/>
  <c r="I223"/>
  <c r="J223"/>
  <c r="K223"/>
  <c r="L223"/>
  <c r="M223"/>
  <c r="N223"/>
  <c r="O223"/>
  <c r="P192"/>
  <c r="R192" s="1"/>
  <c r="P575"/>
  <c r="R575" s="1"/>
  <c r="P576"/>
  <c r="Q576" s="1"/>
  <c r="E577"/>
  <c r="F577"/>
  <c r="G577"/>
  <c r="H577"/>
  <c r="I577"/>
  <c r="J577"/>
  <c r="K577"/>
  <c r="L577"/>
  <c r="M577"/>
  <c r="N577"/>
  <c r="O577"/>
  <c r="P569"/>
  <c r="Q569" s="1"/>
  <c r="E570"/>
  <c r="F570"/>
  <c r="G570"/>
  <c r="H570"/>
  <c r="I570"/>
  <c r="J570"/>
  <c r="K570"/>
  <c r="L570"/>
  <c r="M570"/>
  <c r="N570"/>
  <c r="O570"/>
  <c r="D570"/>
  <c r="E564"/>
  <c r="F564"/>
  <c r="G564"/>
  <c r="H564"/>
  <c r="I564"/>
  <c r="J564"/>
  <c r="K564"/>
  <c r="L564"/>
  <c r="M564"/>
  <c r="N564"/>
  <c r="O564"/>
  <c r="P574"/>
  <c r="R574" s="1"/>
  <c r="P568"/>
  <c r="R568" s="1"/>
  <c r="P563"/>
  <c r="R563" s="1"/>
  <c r="E559"/>
  <c r="F559"/>
  <c r="G559"/>
  <c r="H559"/>
  <c r="I559"/>
  <c r="J559"/>
  <c r="K559"/>
  <c r="L559"/>
  <c r="M559"/>
  <c r="N559"/>
  <c r="O559"/>
  <c r="P558"/>
  <c r="R558" s="1"/>
  <c r="P553"/>
  <c r="R553" s="1"/>
  <c r="E554"/>
  <c r="F554"/>
  <c r="G554"/>
  <c r="H554"/>
  <c r="I554"/>
  <c r="J554"/>
  <c r="K554"/>
  <c r="L554"/>
  <c r="M554"/>
  <c r="N554"/>
  <c r="O554"/>
  <c r="D554"/>
  <c r="P552"/>
  <c r="Q552" s="1"/>
  <c r="E548"/>
  <c r="F548"/>
  <c r="G548"/>
  <c r="H548"/>
  <c r="I548"/>
  <c r="J548"/>
  <c r="K548"/>
  <c r="L548"/>
  <c r="M548"/>
  <c r="N548"/>
  <c r="O548"/>
  <c r="P547"/>
  <c r="R547" s="1"/>
  <c r="P539"/>
  <c r="P540"/>
  <c r="R540" s="1"/>
  <c r="P541"/>
  <c r="Q541" s="1"/>
  <c r="P542"/>
  <c r="R542" s="1"/>
  <c r="E543"/>
  <c r="F543"/>
  <c r="G543"/>
  <c r="H543"/>
  <c r="I543"/>
  <c r="J543"/>
  <c r="K543"/>
  <c r="L543"/>
  <c r="M543"/>
  <c r="N543"/>
  <c r="O543"/>
  <c r="D543"/>
  <c r="P504"/>
  <c r="R504" s="1"/>
  <c r="P505"/>
  <c r="R505" s="1"/>
  <c r="P506"/>
  <c r="Q506" s="1"/>
  <c r="P507"/>
  <c r="R507" s="1"/>
  <c r="P508"/>
  <c r="R508" s="1"/>
  <c r="P509"/>
  <c r="R509" s="1"/>
  <c r="P510"/>
  <c r="R510" s="1"/>
  <c r="P511"/>
  <c r="R511" s="1"/>
  <c r="P512"/>
  <c r="R512" s="1"/>
  <c r="P513"/>
  <c r="R513" s="1"/>
  <c r="P514"/>
  <c r="Q514" s="1"/>
  <c r="P515"/>
  <c r="R515" s="1"/>
  <c r="P516"/>
  <c r="R516" s="1"/>
  <c r="P517"/>
  <c r="R517" s="1"/>
  <c r="P518"/>
  <c r="Q518" s="1"/>
  <c r="P519"/>
  <c r="R519" s="1"/>
  <c r="P520"/>
  <c r="R520" s="1"/>
  <c r="P521"/>
  <c r="R521" s="1"/>
  <c r="P522"/>
  <c r="Q522" s="1"/>
  <c r="P523"/>
  <c r="R523" s="1"/>
  <c r="P524"/>
  <c r="R524" s="1"/>
  <c r="P525"/>
  <c r="R525" s="1"/>
  <c r="P526"/>
  <c r="Q526" s="1"/>
  <c r="P527"/>
  <c r="R527" s="1"/>
  <c r="P528"/>
  <c r="R528" s="1"/>
  <c r="P529"/>
  <c r="R529" s="1"/>
  <c r="P530"/>
  <c r="P531"/>
  <c r="R531" s="1"/>
  <c r="P532"/>
  <c r="R532" s="1"/>
  <c r="P533"/>
  <c r="Q533" s="1"/>
  <c r="P534"/>
  <c r="R534" s="1"/>
  <c r="P535"/>
  <c r="R535" s="1"/>
  <c r="P536"/>
  <c r="R536" s="1"/>
  <c r="P537"/>
  <c r="R537" s="1"/>
  <c r="P538"/>
  <c r="R538" s="1"/>
  <c r="P503"/>
  <c r="R503" s="1"/>
  <c r="P497"/>
  <c r="Q497" s="1"/>
  <c r="P498"/>
  <c r="Q498" s="1"/>
  <c r="E499"/>
  <c r="F499"/>
  <c r="G499"/>
  <c r="H499"/>
  <c r="I499"/>
  <c r="J499"/>
  <c r="K499"/>
  <c r="L499"/>
  <c r="M499"/>
  <c r="N499"/>
  <c r="O499"/>
  <c r="P496"/>
  <c r="R496" s="1"/>
  <c r="E481"/>
  <c r="F481"/>
  <c r="G481"/>
  <c r="H481"/>
  <c r="I481"/>
  <c r="J481"/>
  <c r="K481"/>
  <c r="L481"/>
  <c r="M481"/>
  <c r="N481"/>
  <c r="O481"/>
  <c r="D481"/>
  <c r="P480"/>
  <c r="R480" s="1"/>
  <c r="P489"/>
  <c r="R489" s="1"/>
  <c r="E490"/>
  <c r="F490"/>
  <c r="G490"/>
  <c r="H490"/>
  <c r="I490"/>
  <c r="J490"/>
  <c r="K490"/>
  <c r="L490"/>
  <c r="M490"/>
  <c r="N490"/>
  <c r="O490"/>
  <c r="D490"/>
  <c r="P466"/>
  <c r="R466" s="1"/>
  <c r="P467"/>
  <c r="Q467" s="1"/>
  <c r="P468"/>
  <c r="R468" s="1"/>
  <c r="P469"/>
  <c r="R469" s="1"/>
  <c r="P470"/>
  <c r="R470" s="1"/>
  <c r="P471"/>
  <c r="Q471" s="1"/>
  <c r="P472"/>
  <c r="R472" s="1"/>
  <c r="P473"/>
  <c r="R473" s="1"/>
  <c r="P474"/>
  <c r="R474" s="1"/>
  <c r="P475"/>
  <c r="Q475" s="1"/>
  <c r="P476"/>
  <c r="R476" s="1"/>
  <c r="P477"/>
  <c r="R477" s="1"/>
  <c r="P478"/>
  <c r="Q478" s="1"/>
  <c r="P479"/>
  <c r="Q479" s="1"/>
  <c r="P485"/>
  <c r="R485" s="1"/>
  <c r="P486"/>
  <c r="Q486" s="1"/>
  <c r="P487"/>
  <c r="R487" s="1"/>
  <c r="P488"/>
  <c r="R488" s="1"/>
  <c r="P484"/>
  <c r="R484" s="1"/>
  <c r="P465"/>
  <c r="R465" s="1"/>
  <c r="E460"/>
  <c r="F460"/>
  <c r="G460"/>
  <c r="H460"/>
  <c r="I460"/>
  <c r="J460"/>
  <c r="K460"/>
  <c r="L460"/>
  <c r="M460"/>
  <c r="N460"/>
  <c r="O460"/>
  <c r="P453"/>
  <c r="R453" s="1"/>
  <c r="P454"/>
  <c r="R454" s="1"/>
  <c r="E455"/>
  <c r="F455"/>
  <c r="G455"/>
  <c r="H455"/>
  <c r="I455"/>
  <c r="J455"/>
  <c r="K455"/>
  <c r="L455"/>
  <c r="M455"/>
  <c r="N455"/>
  <c r="O455"/>
  <c r="P459"/>
  <c r="R459" s="1"/>
  <c r="P452"/>
  <c r="R452" s="1"/>
  <c r="P433"/>
  <c r="R433" s="1"/>
  <c r="P434"/>
  <c r="R434" s="1"/>
  <c r="P435"/>
  <c r="P436"/>
  <c r="R436" s="1"/>
  <c r="P437"/>
  <c r="R437" s="1"/>
  <c r="P438"/>
  <c r="R438" s="1"/>
  <c r="P439"/>
  <c r="Q439" s="1"/>
  <c r="P440"/>
  <c r="R440" s="1"/>
  <c r="P441"/>
  <c r="R441" s="1"/>
  <c r="P442"/>
  <c r="R442" s="1"/>
  <c r="P443"/>
  <c r="Q443" s="1"/>
  <c r="P444"/>
  <c r="R444" s="1"/>
  <c r="P445"/>
  <c r="R445" s="1"/>
  <c r="P446"/>
  <c r="R446" s="1"/>
  <c r="P447"/>
  <c r="E448"/>
  <c r="F448"/>
  <c r="G448"/>
  <c r="H448"/>
  <c r="I448"/>
  <c r="J448"/>
  <c r="K448"/>
  <c r="L448"/>
  <c r="M448"/>
  <c r="N448"/>
  <c r="O448"/>
  <c r="P432"/>
  <c r="R432" s="1"/>
  <c r="D428"/>
  <c r="P419"/>
  <c r="R419" s="1"/>
  <c r="P420"/>
  <c r="R420" s="1"/>
  <c r="P421"/>
  <c r="Q421" s="1"/>
  <c r="P422"/>
  <c r="R422" s="1"/>
  <c r="P423"/>
  <c r="R423" s="1"/>
  <c r="P424"/>
  <c r="R424" s="1"/>
  <c r="P425"/>
  <c r="Q425" s="1"/>
  <c r="P426"/>
  <c r="R426" s="1"/>
  <c r="P427"/>
  <c r="R427" s="1"/>
  <c r="E428"/>
  <c r="F428"/>
  <c r="G428"/>
  <c r="H428"/>
  <c r="I428"/>
  <c r="J428"/>
  <c r="K428"/>
  <c r="L428"/>
  <c r="M428"/>
  <c r="N428"/>
  <c r="O428"/>
  <c r="P418"/>
  <c r="Q418" s="1"/>
  <c r="D414"/>
  <c r="P412"/>
  <c r="Q412" s="1"/>
  <c r="P413"/>
  <c r="Q413" s="1"/>
  <c r="E414"/>
  <c r="F414"/>
  <c r="G414"/>
  <c r="H414"/>
  <c r="I414"/>
  <c r="J414"/>
  <c r="K414"/>
  <c r="L414"/>
  <c r="M414"/>
  <c r="N414"/>
  <c r="O414"/>
  <c r="P411"/>
  <c r="R411" s="1"/>
  <c r="P405"/>
  <c r="Q405" s="1"/>
  <c r="P406"/>
  <c r="E407"/>
  <c r="F407"/>
  <c r="G407"/>
  <c r="H407"/>
  <c r="I407"/>
  <c r="J407"/>
  <c r="K407"/>
  <c r="L407"/>
  <c r="M407"/>
  <c r="N407"/>
  <c r="O407"/>
  <c r="D407"/>
  <c r="P384"/>
  <c r="Q384" s="1"/>
  <c r="P385"/>
  <c r="R385" s="1"/>
  <c r="P386"/>
  <c r="Q386" s="1"/>
  <c r="P387"/>
  <c r="Q387" s="1"/>
  <c r="P388"/>
  <c r="R388" s="1"/>
  <c r="P389"/>
  <c r="Q389" s="1"/>
  <c r="P390"/>
  <c r="Q390" s="1"/>
  <c r="P391"/>
  <c r="Q391" s="1"/>
  <c r="P392"/>
  <c r="R392" s="1"/>
  <c r="P393"/>
  <c r="Q393" s="1"/>
  <c r="P394"/>
  <c r="R394" s="1"/>
  <c r="P395"/>
  <c r="Q395" s="1"/>
  <c r="P396"/>
  <c r="R396" s="1"/>
  <c r="P397"/>
  <c r="Q397" s="1"/>
  <c r="P398"/>
  <c r="R398" s="1"/>
  <c r="P399"/>
  <c r="Q399" s="1"/>
  <c r="P400"/>
  <c r="Q400" s="1"/>
  <c r="P401"/>
  <c r="R401" s="1"/>
  <c r="P402"/>
  <c r="R402" s="1"/>
  <c r="P403"/>
  <c r="Q403" s="1"/>
  <c r="P404"/>
  <c r="R404" s="1"/>
  <c r="P383"/>
  <c r="R383" s="1"/>
  <c r="E361"/>
  <c r="F361"/>
  <c r="G361"/>
  <c r="H361"/>
  <c r="I361"/>
  <c r="J361"/>
  <c r="K361"/>
  <c r="L361"/>
  <c r="M361"/>
  <c r="N361"/>
  <c r="O361"/>
  <c r="D361"/>
  <c r="E371"/>
  <c r="F371"/>
  <c r="G371"/>
  <c r="H371"/>
  <c r="I371"/>
  <c r="J371"/>
  <c r="K371"/>
  <c r="L371"/>
  <c r="M371"/>
  <c r="N371"/>
  <c r="O371"/>
  <c r="D371"/>
  <c r="P360"/>
  <c r="R360" s="1"/>
  <c r="P370"/>
  <c r="P371" s="1"/>
  <c r="P376"/>
  <c r="Q376" s="1"/>
  <c r="P377"/>
  <c r="R377" s="1"/>
  <c r="P378"/>
  <c r="R378" s="1"/>
  <c r="E379"/>
  <c r="F379"/>
  <c r="G379"/>
  <c r="H379"/>
  <c r="I379"/>
  <c r="J379"/>
  <c r="K379"/>
  <c r="L379"/>
  <c r="M379"/>
  <c r="N379"/>
  <c r="O379"/>
  <c r="P375"/>
  <c r="R375" s="1"/>
  <c r="P354"/>
  <c r="Q354" s="1"/>
  <c r="P355"/>
  <c r="Q355" s="1"/>
  <c r="E356"/>
  <c r="F356"/>
  <c r="G356"/>
  <c r="H356"/>
  <c r="I356"/>
  <c r="J356"/>
  <c r="K356"/>
  <c r="L356"/>
  <c r="M356"/>
  <c r="N356"/>
  <c r="O356"/>
  <c r="P353"/>
  <c r="R353" s="1"/>
  <c r="P346"/>
  <c r="Q346" s="1"/>
  <c r="P347"/>
  <c r="R347" s="1"/>
  <c r="P348"/>
  <c r="Q348" s="1"/>
  <c r="P345"/>
  <c r="Q345" s="1"/>
  <c r="E349"/>
  <c r="F349"/>
  <c r="G349"/>
  <c r="H349"/>
  <c r="I349"/>
  <c r="J349"/>
  <c r="K349"/>
  <c r="L349"/>
  <c r="M349"/>
  <c r="N349"/>
  <c r="O349"/>
  <c r="D349"/>
  <c r="R346"/>
  <c r="D34" i="2" l="1"/>
  <c r="G58"/>
  <c r="H8"/>
  <c r="H30"/>
  <c r="D35"/>
  <c r="F55"/>
  <c r="G56"/>
  <c r="C55"/>
  <c r="H56"/>
  <c r="E43"/>
  <c r="G8"/>
  <c r="D33"/>
  <c r="G30"/>
  <c r="D30"/>
  <c r="D27"/>
  <c r="H27"/>
  <c r="G27"/>
  <c r="D55"/>
  <c r="R56" i="56"/>
  <c r="E8" i="2"/>
  <c r="D8" s="1"/>
  <c r="R376" i="56"/>
  <c r="P366"/>
  <c r="R366" s="1"/>
  <c r="R57"/>
  <c r="Q57"/>
  <c r="Q56"/>
  <c r="P341"/>
  <c r="Q341" s="1"/>
  <c r="C43" i="2"/>
  <c r="R251" i="56"/>
  <c r="Q250"/>
  <c r="R569"/>
  <c r="L258"/>
  <c r="Q218"/>
  <c r="Q212"/>
  <c r="F223"/>
  <c r="F258" s="1"/>
  <c r="H258"/>
  <c r="R238"/>
  <c r="R244"/>
  <c r="R232"/>
  <c r="P223"/>
  <c r="R222"/>
  <c r="R215"/>
  <c r="R202"/>
  <c r="R526"/>
  <c r="M258"/>
  <c r="I258"/>
  <c r="Q214"/>
  <c r="R210"/>
  <c r="Q201"/>
  <c r="R194"/>
  <c r="Q231"/>
  <c r="R228"/>
  <c r="Q575"/>
  <c r="N258"/>
  <c r="J258"/>
  <c r="Q209"/>
  <c r="Q193"/>
  <c r="P256"/>
  <c r="Q227"/>
  <c r="Q245"/>
  <c r="O258"/>
  <c r="K258"/>
  <c r="G258"/>
  <c r="Q226"/>
  <c r="Q242"/>
  <c r="Q255"/>
  <c r="C15" i="2"/>
  <c r="E258" i="56"/>
  <c r="R219"/>
  <c r="R206"/>
  <c r="R198"/>
  <c r="Q197"/>
  <c r="P252"/>
  <c r="P247"/>
  <c r="F19" i="2" s="1"/>
  <c r="Q243" i="56"/>
  <c r="Q246"/>
  <c r="P239"/>
  <c r="F18" i="2" s="1"/>
  <c r="G18" s="1"/>
  <c r="Q237" i="56"/>
  <c r="Q230"/>
  <c r="R229"/>
  <c r="P233"/>
  <c r="F17" i="2" s="1"/>
  <c r="Q221" i="56"/>
  <c r="Q217"/>
  <c r="Q213"/>
  <c r="Q208"/>
  <c r="Q204"/>
  <c r="Q200"/>
  <c r="Q196"/>
  <c r="R220"/>
  <c r="R216"/>
  <c r="R211"/>
  <c r="R207"/>
  <c r="R203"/>
  <c r="R199"/>
  <c r="R195"/>
  <c r="Q192"/>
  <c r="R576"/>
  <c r="P577"/>
  <c r="Q574"/>
  <c r="Q568"/>
  <c r="P570"/>
  <c r="F54" i="2" s="1"/>
  <c r="Q563" i="56"/>
  <c r="P564"/>
  <c r="Q558"/>
  <c r="P559"/>
  <c r="F52" i="2" s="1"/>
  <c r="R552" i="56"/>
  <c r="Q510"/>
  <c r="Q432"/>
  <c r="P554"/>
  <c r="Q547"/>
  <c r="P548"/>
  <c r="R541"/>
  <c r="R518"/>
  <c r="R533"/>
  <c r="Q537"/>
  <c r="Q540"/>
  <c r="H492"/>
  <c r="R530"/>
  <c r="R522"/>
  <c r="R514"/>
  <c r="R506"/>
  <c r="R497"/>
  <c r="P543"/>
  <c r="F49" i="2" s="1"/>
  <c r="Q539" i="56"/>
  <c r="Q542"/>
  <c r="R539"/>
  <c r="Q536"/>
  <c r="Q521"/>
  <c r="Q517"/>
  <c r="Q513"/>
  <c r="Q509"/>
  <c r="Q505"/>
  <c r="Q484"/>
  <c r="L492"/>
  <c r="Q529"/>
  <c r="Q525"/>
  <c r="G492"/>
  <c r="Q535"/>
  <c r="Q532"/>
  <c r="Q528"/>
  <c r="Q524"/>
  <c r="Q520"/>
  <c r="Q516"/>
  <c r="Q512"/>
  <c r="Q508"/>
  <c r="Q504"/>
  <c r="Q534"/>
  <c r="Q531"/>
  <c r="Q527"/>
  <c r="Q523"/>
  <c r="Q519"/>
  <c r="Q515"/>
  <c r="Q511"/>
  <c r="Q507"/>
  <c r="Q496"/>
  <c r="Q503"/>
  <c r="R395"/>
  <c r="O492"/>
  <c r="K492"/>
  <c r="P499"/>
  <c r="R499" s="1"/>
  <c r="R498"/>
  <c r="R486"/>
  <c r="J492"/>
  <c r="R370"/>
  <c r="Q452"/>
  <c r="I492"/>
  <c r="E492"/>
  <c r="F492"/>
  <c r="Q454"/>
  <c r="R475"/>
  <c r="P490"/>
  <c r="R490" s="1"/>
  <c r="R471"/>
  <c r="Q470"/>
  <c r="R467"/>
  <c r="Q466"/>
  <c r="R479"/>
  <c r="R478"/>
  <c r="M492"/>
  <c r="P481"/>
  <c r="N492"/>
  <c r="Q480"/>
  <c r="Q477"/>
  <c r="Q473"/>
  <c r="Q469"/>
  <c r="Q476"/>
  <c r="Q468"/>
  <c r="Q488"/>
  <c r="Q487"/>
  <c r="Q465"/>
  <c r="Q459"/>
  <c r="P460"/>
  <c r="F42" i="2" s="1"/>
  <c r="P455" i="56"/>
  <c r="Q453"/>
  <c r="R447"/>
  <c r="R443"/>
  <c r="Q442"/>
  <c r="R439"/>
  <c r="Q438"/>
  <c r="R435"/>
  <c r="Q434"/>
  <c r="Q445"/>
  <c r="Q441"/>
  <c r="Q437"/>
  <c r="Q433"/>
  <c r="P448"/>
  <c r="F40" i="2" s="1"/>
  <c r="Q444" i="56"/>
  <c r="Q440"/>
  <c r="Q436"/>
  <c r="Q424"/>
  <c r="R421"/>
  <c r="P428"/>
  <c r="R425"/>
  <c r="Q427"/>
  <c r="Q423"/>
  <c r="Q420"/>
  <c r="Q426"/>
  <c r="Q422"/>
  <c r="Q419"/>
  <c r="R418"/>
  <c r="R412"/>
  <c r="R413"/>
  <c r="Q388"/>
  <c r="Q411"/>
  <c r="P414"/>
  <c r="R400"/>
  <c r="R387"/>
  <c r="Q377"/>
  <c r="Q383"/>
  <c r="Q394"/>
  <c r="R384"/>
  <c r="R406"/>
  <c r="R403"/>
  <c r="R391"/>
  <c r="Q404"/>
  <c r="Q401"/>
  <c r="Q398"/>
  <c r="R390"/>
  <c r="R386"/>
  <c r="R397"/>
  <c r="R393"/>
  <c r="R405"/>
  <c r="P361"/>
  <c r="R389"/>
  <c r="P407"/>
  <c r="R407" s="1"/>
  <c r="Q402"/>
  <c r="Q396"/>
  <c r="Q392"/>
  <c r="Q385"/>
  <c r="R399"/>
  <c r="R345"/>
  <c r="R354"/>
  <c r="Q347"/>
  <c r="P349"/>
  <c r="P379"/>
  <c r="F36" i="2" s="1"/>
  <c r="Q378" i="56"/>
  <c r="Q375"/>
  <c r="R355"/>
  <c r="Q353"/>
  <c r="P356"/>
  <c r="F32" i="2" s="1"/>
  <c r="H32" s="1"/>
  <c r="Q286" i="56"/>
  <c r="R286"/>
  <c r="Q287"/>
  <c r="R287"/>
  <c r="R288"/>
  <c r="Q288"/>
  <c r="Q273"/>
  <c r="R273"/>
  <c r="Q274"/>
  <c r="R274"/>
  <c r="R275"/>
  <c r="Q275"/>
  <c r="R133"/>
  <c r="Q133"/>
  <c r="R132"/>
  <c r="Q132"/>
  <c r="R77"/>
  <c r="Q77"/>
  <c r="R76"/>
  <c r="Q76"/>
  <c r="E294"/>
  <c r="F294"/>
  <c r="G294"/>
  <c r="H294"/>
  <c r="I294"/>
  <c r="J294"/>
  <c r="K294"/>
  <c r="L294"/>
  <c r="M294"/>
  <c r="N294"/>
  <c r="O294"/>
  <c r="D294"/>
  <c r="P293"/>
  <c r="R293" s="1"/>
  <c r="P329"/>
  <c r="Q329" s="1"/>
  <c r="P330"/>
  <c r="Q330" s="1"/>
  <c r="P331"/>
  <c r="Q331" s="1"/>
  <c r="P332"/>
  <c r="Q332" s="1"/>
  <c r="P333"/>
  <c r="Q333" s="1"/>
  <c r="P334"/>
  <c r="Q334" s="1"/>
  <c r="P335"/>
  <c r="R335" s="1"/>
  <c r="E336"/>
  <c r="F336"/>
  <c r="G336"/>
  <c r="H336"/>
  <c r="I336"/>
  <c r="J336"/>
  <c r="K336"/>
  <c r="L336"/>
  <c r="M336"/>
  <c r="N336"/>
  <c r="O336"/>
  <c r="D336"/>
  <c r="P328"/>
  <c r="Q328" s="1"/>
  <c r="P323"/>
  <c r="E324"/>
  <c r="F324"/>
  <c r="G324"/>
  <c r="H324"/>
  <c r="I324"/>
  <c r="J324"/>
  <c r="K324"/>
  <c r="L324"/>
  <c r="M324"/>
  <c r="N324"/>
  <c r="O324"/>
  <c r="D324"/>
  <c r="P299"/>
  <c r="Q299" s="1"/>
  <c r="P300"/>
  <c r="Q300" s="1"/>
  <c r="P301"/>
  <c r="Q301" s="1"/>
  <c r="P302"/>
  <c r="Q302" s="1"/>
  <c r="P303"/>
  <c r="Q303" s="1"/>
  <c r="P304"/>
  <c r="Q304" s="1"/>
  <c r="P305"/>
  <c r="Q305" s="1"/>
  <c r="P306"/>
  <c r="Q306" s="1"/>
  <c r="P307"/>
  <c r="Q307" s="1"/>
  <c r="P308"/>
  <c r="Q308" s="1"/>
  <c r="P309"/>
  <c r="Q309" s="1"/>
  <c r="P310"/>
  <c r="Q310" s="1"/>
  <c r="P311"/>
  <c r="Q311" s="1"/>
  <c r="P312"/>
  <c r="Q312" s="1"/>
  <c r="P313"/>
  <c r="Q313" s="1"/>
  <c r="P314"/>
  <c r="Q314" s="1"/>
  <c r="P315"/>
  <c r="Q315" s="1"/>
  <c r="P316"/>
  <c r="Q316" s="1"/>
  <c r="P317"/>
  <c r="Q317" s="1"/>
  <c r="P318"/>
  <c r="Q318" s="1"/>
  <c r="P319"/>
  <c r="Q319" s="1"/>
  <c r="P320"/>
  <c r="Q320" s="1"/>
  <c r="P321"/>
  <c r="Q321" s="1"/>
  <c r="P322"/>
  <c r="Q322" s="1"/>
  <c r="P298"/>
  <c r="P103"/>
  <c r="P104"/>
  <c r="P105"/>
  <c r="P106"/>
  <c r="P167"/>
  <c r="Q167" s="1"/>
  <c r="P168"/>
  <c r="Q168" s="1"/>
  <c r="P169"/>
  <c r="Q169" s="1"/>
  <c r="P170"/>
  <c r="Q170" s="1"/>
  <c r="P171"/>
  <c r="Q171" s="1"/>
  <c r="P172"/>
  <c r="Q172" s="1"/>
  <c r="P173"/>
  <c r="Q173" s="1"/>
  <c r="P174"/>
  <c r="Q174" s="1"/>
  <c r="P175"/>
  <c r="Q175" s="1"/>
  <c r="P176"/>
  <c r="Q176" s="1"/>
  <c r="P177"/>
  <c r="Q177" s="1"/>
  <c r="P178"/>
  <c r="Q178" s="1"/>
  <c r="P179"/>
  <c r="Q179" s="1"/>
  <c r="P180"/>
  <c r="Q180" s="1"/>
  <c r="P181"/>
  <c r="Q181" s="1"/>
  <c r="P182"/>
  <c r="Q182" s="1"/>
  <c r="P183"/>
  <c r="Q183" s="1"/>
  <c r="P184"/>
  <c r="Q184" s="1"/>
  <c r="P185"/>
  <c r="Q185" s="1"/>
  <c r="P186"/>
  <c r="R186" s="1"/>
  <c r="E289"/>
  <c r="F289"/>
  <c r="G289"/>
  <c r="H289"/>
  <c r="I289"/>
  <c r="J289"/>
  <c r="K289"/>
  <c r="L289"/>
  <c r="M289"/>
  <c r="N289"/>
  <c r="O289"/>
  <c r="E281"/>
  <c r="F281"/>
  <c r="G281"/>
  <c r="H281"/>
  <c r="I281"/>
  <c r="J281"/>
  <c r="K281"/>
  <c r="L281"/>
  <c r="M281"/>
  <c r="N281"/>
  <c r="O281"/>
  <c r="D276"/>
  <c r="E276"/>
  <c r="F276"/>
  <c r="G276"/>
  <c r="H276"/>
  <c r="I276"/>
  <c r="J276"/>
  <c r="K276"/>
  <c r="L276"/>
  <c r="M276"/>
  <c r="N276"/>
  <c r="O276"/>
  <c r="P285"/>
  <c r="P280"/>
  <c r="R280" s="1"/>
  <c r="P272"/>
  <c r="E268"/>
  <c r="F268"/>
  <c r="G268"/>
  <c r="H268"/>
  <c r="I268"/>
  <c r="J268"/>
  <c r="K268"/>
  <c r="L268"/>
  <c r="M268"/>
  <c r="N268"/>
  <c r="O268"/>
  <c r="P267"/>
  <c r="E263"/>
  <c r="F263"/>
  <c r="G263"/>
  <c r="H263"/>
  <c r="I263"/>
  <c r="J263"/>
  <c r="K263"/>
  <c r="L263"/>
  <c r="M263"/>
  <c r="N263"/>
  <c r="O263"/>
  <c r="P262"/>
  <c r="E187"/>
  <c r="C14" i="2" s="1"/>
  <c r="F187" i="56"/>
  <c r="G187"/>
  <c r="H187"/>
  <c r="I187"/>
  <c r="J187"/>
  <c r="K187"/>
  <c r="L187"/>
  <c r="M187"/>
  <c r="N187"/>
  <c r="O187"/>
  <c r="P166"/>
  <c r="Q166" s="1"/>
  <c r="E134"/>
  <c r="C13" i="2" s="1"/>
  <c r="F134" i="56"/>
  <c r="G134"/>
  <c r="H134"/>
  <c r="I134"/>
  <c r="J134"/>
  <c r="K134"/>
  <c r="L134"/>
  <c r="M134"/>
  <c r="N134"/>
  <c r="O134"/>
  <c r="D131"/>
  <c r="D134" s="1"/>
  <c r="P131"/>
  <c r="E107"/>
  <c r="C12" i="2" s="1"/>
  <c r="F107" i="56"/>
  <c r="G107"/>
  <c r="H107"/>
  <c r="I107"/>
  <c r="J107"/>
  <c r="K107"/>
  <c r="L107"/>
  <c r="M107"/>
  <c r="N107"/>
  <c r="O107"/>
  <c r="D102"/>
  <c r="D107" s="1"/>
  <c r="P102"/>
  <c r="R102" s="1"/>
  <c r="E78"/>
  <c r="C11" i="2" s="1"/>
  <c r="F78" i="56"/>
  <c r="G78"/>
  <c r="H78"/>
  <c r="I78"/>
  <c r="J78"/>
  <c r="K78"/>
  <c r="L78"/>
  <c r="M78"/>
  <c r="N78"/>
  <c r="O78"/>
  <c r="D75"/>
  <c r="D78" s="1"/>
  <c r="P75"/>
  <c r="P70"/>
  <c r="R70" s="1"/>
  <c r="E71"/>
  <c r="C10" i="2" s="1"/>
  <c r="F71" i="56"/>
  <c r="G71"/>
  <c r="H71"/>
  <c r="I71"/>
  <c r="J71"/>
  <c r="K71"/>
  <c r="L71"/>
  <c r="M71"/>
  <c r="N71"/>
  <c r="O71"/>
  <c r="D71"/>
  <c r="P69"/>
  <c r="Q69" s="1"/>
  <c r="P68"/>
  <c r="Q68" s="1"/>
  <c r="P63"/>
  <c r="E64"/>
  <c r="C9" i="2" s="1"/>
  <c r="F64" i="56"/>
  <c r="G64"/>
  <c r="H64"/>
  <c r="I64"/>
  <c r="J64"/>
  <c r="K64"/>
  <c r="L64"/>
  <c r="M64"/>
  <c r="N64"/>
  <c r="O64"/>
  <c r="P62"/>
  <c r="Q62" s="1"/>
  <c r="P61"/>
  <c r="Q61" s="1"/>
  <c r="P45"/>
  <c r="P46"/>
  <c r="P47"/>
  <c r="P48"/>
  <c r="Q48" s="1"/>
  <c r="P49"/>
  <c r="Q49" s="1"/>
  <c r="P50"/>
  <c r="Q50" s="1"/>
  <c r="P51"/>
  <c r="R51" s="1"/>
  <c r="E52"/>
  <c r="C7" i="2" s="1"/>
  <c r="F52" i="56"/>
  <c r="G52"/>
  <c r="H52"/>
  <c r="I52"/>
  <c r="J52"/>
  <c r="K52"/>
  <c r="L52"/>
  <c r="M52"/>
  <c r="N52"/>
  <c r="O52"/>
  <c r="P44"/>
  <c r="E40"/>
  <c r="C6" i="2" s="1"/>
  <c r="F40" i="56"/>
  <c r="G40"/>
  <c r="H40"/>
  <c r="I40"/>
  <c r="J40"/>
  <c r="K40"/>
  <c r="L40"/>
  <c r="M40"/>
  <c r="N40"/>
  <c r="O40"/>
  <c r="P39"/>
  <c r="P40" s="1"/>
  <c r="P17"/>
  <c r="R17" s="1"/>
  <c r="P18"/>
  <c r="R18" s="1"/>
  <c r="P19"/>
  <c r="R19" s="1"/>
  <c r="P20"/>
  <c r="R20" s="1"/>
  <c r="P21"/>
  <c r="R21" s="1"/>
  <c r="P22"/>
  <c r="R22" s="1"/>
  <c r="P23"/>
  <c r="R23" s="1"/>
  <c r="P24"/>
  <c r="R24" s="1"/>
  <c r="P25"/>
  <c r="R25" s="1"/>
  <c r="P26"/>
  <c r="R26" s="1"/>
  <c r="P27"/>
  <c r="R27" s="1"/>
  <c r="P28"/>
  <c r="R28" s="1"/>
  <c r="P29"/>
  <c r="R29" s="1"/>
  <c r="P30"/>
  <c r="R30" s="1"/>
  <c r="P31"/>
  <c r="R31" s="1"/>
  <c r="P32"/>
  <c r="R32" s="1"/>
  <c r="P33"/>
  <c r="R33" s="1"/>
  <c r="P34"/>
  <c r="Q34" s="1"/>
  <c r="P11"/>
  <c r="R11" s="1"/>
  <c r="P10"/>
  <c r="R10" s="1"/>
  <c r="P9"/>
  <c r="R9" s="1"/>
  <c r="E35"/>
  <c r="C5" i="2" s="1"/>
  <c r="F35" i="56"/>
  <c r="G35"/>
  <c r="H35"/>
  <c r="I35"/>
  <c r="J35"/>
  <c r="K35"/>
  <c r="L35"/>
  <c r="M35"/>
  <c r="N35"/>
  <c r="O35"/>
  <c r="P16"/>
  <c r="R16" s="1"/>
  <c r="G12"/>
  <c r="H12"/>
  <c r="I12"/>
  <c r="J12"/>
  <c r="K12"/>
  <c r="L12"/>
  <c r="M12"/>
  <c r="N12"/>
  <c r="O12"/>
  <c r="P8"/>
  <c r="R8" s="1"/>
  <c r="H55" i="2" l="1"/>
  <c r="D19"/>
  <c r="H19"/>
  <c r="D49"/>
  <c r="H49"/>
  <c r="G49"/>
  <c r="G32"/>
  <c r="D32"/>
  <c r="D42"/>
  <c r="H42"/>
  <c r="G42"/>
  <c r="D52"/>
  <c r="H52"/>
  <c r="G52"/>
  <c r="H54"/>
  <c r="G54"/>
  <c r="D54"/>
  <c r="D17"/>
  <c r="H17"/>
  <c r="H18"/>
  <c r="D18"/>
  <c r="G19"/>
  <c r="G17"/>
  <c r="D40"/>
  <c r="H40"/>
  <c r="G40"/>
  <c r="D36"/>
  <c r="H36"/>
  <c r="G36"/>
  <c r="R323" i="56"/>
  <c r="E28" i="2"/>
  <c r="R63" i="56"/>
  <c r="E9" i="2"/>
  <c r="M582" i="56"/>
  <c r="I582"/>
  <c r="R559"/>
  <c r="N582"/>
  <c r="O582"/>
  <c r="K582"/>
  <c r="G582"/>
  <c r="J582"/>
  <c r="L582"/>
  <c r="H582"/>
  <c r="F20" i="2"/>
  <c r="R341" i="56"/>
  <c r="F53" i="2"/>
  <c r="R256" i="56"/>
  <c r="F21" i="2"/>
  <c r="R223" i="56"/>
  <c r="P258"/>
  <c r="R258" s="1"/>
  <c r="F16" i="2"/>
  <c r="R252" i="56"/>
  <c r="R247"/>
  <c r="R239"/>
  <c r="R233"/>
  <c r="R577"/>
  <c r="Q570"/>
  <c r="R570"/>
  <c r="R564"/>
  <c r="R554"/>
  <c r="F51" i="2"/>
  <c r="R548" i="56"/>
  <c r="F50" i="2"/>
  <c r="R543" i="56"/>
  <c r="F46" i="2"/>
  <c r="P492" i="56"/>
  <c r="F44" i="2"/>
  <c r="Q490" i="56"/>
  <c r="F45" i="2"/>
  <c r="R428" i="56"/>
  <c r="F39" i="2"/>
  <c r="R414" i="56"/>
  <c r="F38" i="2"/>
  <c r="R455" i="56"/>
  <c r="F41" i="2"/>
  <c r="Q481" i="56"/>
  <c r="R481"/>
  <c r="R492"/>
  <c r="R460"/>
  <c r="R448"/>
  <c r="R303"/>
  <c r="R349"/>
  <c r="F31" i="2"/>
  <c r="F37"/>
  <c r="Q407" i="56"/>
  <c r="R361"/>
  <c r="R371"/>
  <c r="R311"/>
  <c r="R330"/>
  <c r="Q24"/>
  <c r="R39"/>
  <c r="R379"/>
  <c r="R356"/>
  <c r="Q32"/>
  <c r="R319"/>
  <c r="Q51"/>
  <c r="Q30"/>
  <c r="R317"/>
  <c r="R301"/>
  <c r="R334"/>
  <c r="Q10"/>
  <c r="Q28"/>
  <c r="Q20"/>
  <c r="R44"/>
  <c r="R315"/>
  <c r="R307"/>
  <c r="R299"/>
  <c r="R328"/>
  <c r="Q22"/>
  <c r="R309"/>
  <c r="R332"/>
  <c r="R34"/>
  <c r="Q26"/>
  <c r="Q18"/>
  <c r="R321"/>
  <c r="R313"/>
  <c r="R305"/>
  <c r="P263"/>
  <c r="F22" i="2" s="1"/>
  <c r="R262" i="56"/>
  <c r="P268"/>
  <c r="R267"/>
  <c r="P276"/>
  <c r="Q272"/>
  <c r="P289"/>
  <c r="Q285"/>
  <c r="P294"/>
  <c r="Q335"/>
  <c r="R333"/>
  <c r="R331"/>
  <c r="R329"/>
  <c r="Q11"/>
  <c r="Q9"/>
  <c r="Q33"/>
  <c r="Q31"/>
  <c r="Q29"/>
  <c r="Q27"/>
  <c r="Q25"/>
  <c r="Q23"/>
  <c r="Q19"/>
  <c r="Q17"/>
  <c r="Q16"/>
  <c r="R50"/>
  <c r="R48"/>
  <c r="R46"/>
  <c r="R61"/>
  <c r="R68"/>
  <c r="R184"/>
  <c r="R182"/>
  <c r="R180"/>
  <c r="R178"/>
  <c r="R176"/>
  <c r="R174"/>
  <c r="R172"/>
  <c r="R170"/>
  <c r="R168"/>
  <c r="R166"/>
  <c r="R272"/>
  <c r="Q293"/>
  <c r="R285"/>
  <c r="F6" i="2"/>
  <c r="R40" i="56"/>
  <c r="P78"/>
  <c r="R75"/>
  <c r="P134"/>
  <c r="R131"/>
  <c r="P281"/>
  <c r="P324"/>
  <c r="Q298"/>
  <c r="Q39"/>
  <c r="R49"/>
  <c r="R47"/>
  <c r="R45"/>
  <c r="Q63"/>
  <c r="R62"/>
  <c r="R69"/>
  <c r="Q75"/>
  <c r="Q102"/>
  <c r="Q131"/>
  <c r="Q186"/>
  <c r="R185"/>
  <c r="R183"/>
  <c r="R181"/>
  <c r="R179"/>
  <c r="R177"/>
  <c r="R175"/>
  <c r="R173"/>
  <c r="R171"/>
  <c r="R169"/>
  <c r="R167"/>
  <c r="Q262"/>
  <c r="Q267"/>
  <c r="Q280"/>
  <c r="Q323"/>
  <c r="R322"/>
  <c r="R320"/>
  <c r="R318"/>
  <c r="R316"/>
  <c r="R314"/>
  <c r="R312"/>
  <c r="R310"/>
  <c r="R308"/>
  <c r="R306"/>
  <c r="R304"/>
  <c r="R302"/>
  <c r="R300"/>
  <c r="R298"/>
  <c r="P336"/>
  <c r="P107"/>
  <c r="P187"/>
  <c r="P71"/>
  <c r="P64"/>
  <c r="P52"/>
  <c r="P35"/>
  <c r="P12"/>
  <c r="E59" i="2" l="1"/>
  <c r="D53"/>
  <c r="H53"/>
  <c r="G53"/>
  <c r="H41"/>
  <c r="G41"/>
  <c r="D41"/>
  <c r="D39"/>
  <c r="H39"/>
  <c r="G39"/>
  <c r="D44"/>
  <c r="H44"/>
  <c r="G44"/>
  <c r="H50"/>
  <c r="G50"/>
  <c r="D50"/>
  <c r="G16"/>
  <c r="H16"/>
  <c r="D16"/>
  <c r="F15"/>
  <c r="H15" s="1"/>
  <c r="D6"/>
  <c r="H6"/>
  <c r="G6"/>
  <c r="H37"/>
  <c r="G37"/>
  <c r="D37"/>
  <c r="D21"/>
  <c r="H21"/>
  <c r="G21"/>
  <c r="D20"/>
  <c r="H20"/>
  <c r="G20"/>
  <c r="D38"/>
  <c r="H38"/>
  <c r="G38"/>
  <c r="D45"/>
  <c r="H45"/>
  <c r="G45"/>
  <c r="H46"/>
  <c r="G46"/>
  <c r="D46"/>
  <c r="D51"/>
  <c r="H51"/>
  <c r="G51"/>
  <c r="H22"/>
  <c r="D22"/>
  <c r="G22"/>
  <c r="D31"/>
  <c r="H31"/>
  <c r="G31"/>
  <c r="P582" i="56"/>
  <c r="F43" i="2"/>
  <c r="H43" s="1"/>
  <c r="F5"/>
  <c r="R35" i="56"/>
  <c r="F9" i="2"/>
  <c r="R64" i="56"/>
  <c r="F14" i="2"/>
  <c r="R187" i="56"/>
  <c r="R336"/>
  <c r="F29" i="2"/>
  <c r="Q336" i="56"/>
  <c r="F28" i="2"/>
  <c r="R324" i="56"/>
  <c r="Q324"/>
  <c r="F4" i="2"/>
  <c r="F7"/>
  <c r="R52" i="56"/>
  <c r="F10" i="2"/>
  <c r="R71" i="56"/>
  <c r="Q71"/>
  <c r="F12" i="2"/>
  <c r="R107" i="56"/>
  <c r="Q107"/>
  <c r="R281"/>
  <c r="F25" i="2"/>
  <c r="R134" i="56"/>
  <c r="F13" i="2"/>
  <c r="Q134" i="56"/>
  <c r="R78"/>
  <c r="Q78"/>
  <c r="F11" i="2"/>
  <c r="R294" i="56"/>
  <c r="Q294"/>
  <c r="R289"/>
  <c r="F26" i="2"/>
  <c r="R276" i="56"/>
  <c r="Q276"/>
  <c r="F24" i="2"/>
  <c r="R268" i="56"/>
  <c r="F23" i="2"/>
  <c r="R263" i="56"/>
  <c r="F12"/>
  <c r="F582" s="1"/>
  <c r="E12"/>
  <c r="E582" s="1"/>
  <c r="D15" i="2" l="1"/>
  <c r="F59"/>
  <c r="D12"/>
  <c r="H12"/>
  <c r="G12"/>
  <c r="D9"/>
  <c r="H9"/>
  <c r="G9"/>
  <c r="D11"/>
  <c r="G11"/>
  <c r="H11"/>
  <c r="D13"/>
  <c r="H13"/>
  <c r="G13"/>
  <c r="D4"/>
  <c r="G4"/>
  <c r="D14"/>
  <c r="H14"/>
  <c r="G14"/>
  <c r="D5"/>
  <c r="H5"/>
  <c r="G5"/>
  <c r="D7"/>
  <c r="G7"/>
  <c r="H7"/>
  <c r="D43"/>
  <c r="D10"/>
  <c r="H10"/>
  <c r="G10"/>
  <c r="D26"/>
  <c r="H26"/>
  <c r="G26"/>
  <c r="G28"/>
  <c r="D28"/>
  <c r="H28"/>
  <c r="H29"/>
  <c r="G29"/>
  <c r="D29"/>
  <c r="H25"/>
  <c r="D25"/>
  <c r="G25"/>
  <c r="G24"/>
  <c r="D24"/>
  <c r="H24"/>
  <c r="H23"/>
  <c r="D23"/>
  <c r="G23"/>
  <c r="R582" i="56"/>
  <c r="R12"/>
  <c r="C4" i="2"/>
  <c r="C59" s="1"/>
  <c r="H59" s="1"/>
  <c r="D577" i="56"/>
  <c r="Q577" s="1"/>
  <c r="D564"/>
  <c r="Q564" s="1"/>
  <c r="D559"/>
  <c r="Q559" s="1"/>
  <c r="Q554"/>
  <c r="D548"/>
  <c r="Q548" s="1"/>
  <c r="Q543"/>
  <c r="D499"/>
  <c r="Q499" s="1"/>
  <c r="D460"/>
  <c r="Q460" s="1"/>
  <c r="D455"/>
  <c r="Q455" s="1"/>
  <c r="D448"/>
  <c r="Q428"/>
  <c r="Q414"/>
  <c r="D379"/>
  <c r="Q379" s="1"/>
  <c r="D356"/>
  <c r="Q349"/>
  <c r="D289"/>
  <c r="Q289" s="1"/>
  <c r="D281"/>
  <c r="Q281" s="1"/>
  <c r="D268"/>
  <c r="Q268" s="1"/>
  <c r="D263"/>
  <c r="Q263" s="1"/>
  <c r="D256"/>
  <c r="Q256" s="1"/>
  <c r="D252"/>
  <c r="Q252" s="1"/>
  <c r="D247"/>
  <c r="Q247" s="1"/>
  <c r="D239"/>
  <c r="Q239" s="1"/>
  <c r="D233"/>
  <c r="Q233" s="1"/>
  <c r="Q223"/>
  <c r="D187"/>
  <c r="Q187" s="1"/>
  <c r="D154"/>
  <c r="D156" s="1"/>
  <c r="D127"/>
  <c r="D98"/>
  <c r="D64"/>
  <c r="Q64" s="1"/>
  <c r="D52"/>
  <c r="Q52" s="1"/>
  <c r="D40"/>
  <c r="Q40" s="1"/>
  <c r="D35"/>
  <c r="Q35" s="1"/>
  <c r="D12"/>
  <c r="D59" i="2" l="1"/>
  <c r="H4"/>
  <c r="Q12" i="56"/>
  <c r="D582"/>
  <c r="Q582" s="1"/>
  <c r="Q448"/>
  <c r="Q356"/>
  <c r="D492"/>
  <c r="Q492" s="1"/>
  <c r="D258"/>
  <c r="Q258" s="1"/>
  <c r="B43" i="3"/>
  <c r="B37"/>
  <c r="B38"/>
  <c r="B39"/>
  <c r="B40"/>
  <c r="B41"/>
  <c r="B42"/>
  <c r="C44"/>
  <c r="T89" i="6"/>
  <c r="U89" s="1"/>
  <c r="U60" l="1"/>
  <c r="U35"/>
  <c r="U33"/>
  <c r="U31"/>
  <c r="U24"/>
  <c r="U14"/>
  <c r="U8"/>
  <c r="U7"/>
  <c r="T73"/>
  <c r="T39"/>
  <c r="U39" s="1"/>
  <c r="T70"/>
  <c r="T69"/>
  <c r="U69" s="1"/>
  <c r="T68"/>
  <c r="T67"/>
  <c r="U67" s="1"/>
  <c r="T63"/>
  <c r="U63" s="1"/>
  <c r="T37"/>
  <c r="U37" s="1"/>
  <c r="T36"/>
  <c r="U36" s="1"/>
  <c r="T62"/>
  <c r="T60"/>
  <c r="T58"/>
  <c r="U58" s="1"/>
  <c r="T35"/>
  <c r="T56"/>
  <c r="T55"/>
  <c r="T52"/>
  <c r="T50"/>
  <c r="T34"/>
  <c r="U34" s="1"/>
  <c r="T33"/>
  <c r="T32"/>
  <c r="U32" s="1"/>
  <c r="T31"/>
  <c r="T29"/>
  <c r="U29" s="1"/>
  <c r="T46"/>
  <c r="T45"/>
  <c r="U45" s="1"/>
  <c r="T44"/>
  <c r="U44" s="1"/>
  <c r="T28"/>
  <c r="U28" s="1"/>
  <c r="T43"/>
  <c r="U43" s="1"/>
  <c r="T80"/>
  <c r="T79"/>
  <c r="T78"/>
  <c r="U78" s="1"/>
  <c r="T77"/>
  <c r="U77" s="1"/>
  <c r="T20"/>
  <c r="U20" s="1"/>
  <c r="T19"/>
  <c r="U19" s="1"/>
  <c r="T26"/>
  <c r="U26" s="1"/>
  <c r="T18"/>
  <c r="U18" s="1"/>
  <c r="T25"/>
  <c r="T24"/>
  <c r="T15"/>
  <c r="U15" s="1"/>
  <c r="T14"/>
  <c r="T12"/>
  <c r="U12" s="1"/>
  <c r="T10"/>
  <c r="U10" s="1"/>
  <c r="T9"/>
  <c r="U9" s="1"/>
  <c r="T7"/>
  <c r="D78" l="1"/>
  <c r="D75" s="1"/>
  <c r="B44" i="3"/>
  <c r="B36"/>
  <c r="B35"/>
  <c r="B34"/>
  <c r="B28"/>
  <c r="B27"/>
  <c r="B26"/>
  <c r="B25"/>
  <c r="B24"/>
  <c r="B22"/>
  <c r="B21"/>
  <c r="B14"/>
  <c r="B18"/>
  <c r="B17"/>
  <c r="B15"/>
  <c r="B13"/>
  <c r="B12"/>
  <c r="B11"/>
  <c r="B10"/>
  <c r="B9"/>
  <c r="B8"/>
  <c r="B7"/>
  <c r="Q7" i="6"/>
  <c r="Q8"/>
  <c r="Q9"/>
  <c r="Q10"/>
  <c r="Q11"/>
  <c r="Q12"/>
  <c r="D41"/>
  <c r="B30" i="3" s="1"/>
  <c r="D38" i="6"/>
  <c r="B29" i="3" s="1"/>
  <c r="D30" i="6"/>
  <c r="B23" i="3" s="1"/>
  <c r="D21" i="6"/>
  <c r="B19" i="3" s="1"/>
  <c r="D16" i="6"/>
  <c r="B16" i="3" s="1"/>
  <c r="F29" i="53"/>
  <c r="D27" i="6" l="1"/>
  <c r="D6"/>
  <c r="B55" i="2"/>
  <c r="G55" s="1"/>
  <c r="B6" i="3"/>
  <c r="B32"/>
  <c r="B20"/>
  <c r="H48" i="53"/>
  <c r="E48"/>
  <c r="D48"/>
  <c r="C48"/>
  <c r="F24"/>
  <c r="F43"/>
  <c r="F42"/>
  <c r="F41"/>
  <c r="F40"/>
  <c r="F39"/>
  <c r="F38"/>
  <c r="F44"/>
  <c r="F23"/>
  <c r="F37"/>
  <c r="F22"/>
  <c r="F21"/>
  <c r="F20"/>
  <c r="F19"/>
  <c r="F36"/>
  <c r="F35"/>
  <c r="F34"/>
  <c r="F33"/>
  <c r="F32"/>
  <c r="F18"/>
  <c r="F31"/>
  <c r="F17"/>
  <c r="F30"/>
  <c r="F16"/>
  <c r="F15"/>
  <c r="F14"/>
  <c r="F13"/>
  <c r="F12"/>
  <c r="F11"/>
  <c r="F10"/>
  <c r="F9"/>
  <c r="F8"/>
  <c r="F7"/>
  <c r="F6"/>
  <c r="F5"/>
  <c r="B43" i="2" l="1"/>
  <c r="G43" s="1"/>
  <c r="D74" i="6"/>
  <c r="B15" i="2"/>
  <c r="B31" i="3"/>
  <c r="B45" s="1"/>
  <c r="F48" i="53"/>
  <c r="G15" i="2" l="1"/>
  <c r="B59"/>
  <c r="G59" s="1"/>
  <c r="D91" i="6"/>
  <c r="D87"/>
  <c r="AF61" l="1"/>
  <c r="Q61"/>
  <c r="AH61" l="1"/>
  <c r="AG61"/>
  <c r="AF60" l="1"/>
  <c r="F16" l="1"/>
  <c r="G16"/>
  <c r="F21"/>
  <c r="G21"/>
  <c r="F30"/>
  <c r="G30"/>
  <c r="F38"/>
  <c r="G38"/>
  <c r="F41"/>
  <c r="G41"/>
  <c r="F75"/>
  <c r="G75"/>
  <c r="Q90"/>
  <c r="Q89"/>
  <c r="Q77"/>
  <c r="Q78"/>
  <c r="Q79"/>
  <c r="Q80"/>
  <c r="Q81"/>
  <c r="Q82"/>
  <c r="Q83"/>
  <c r="Q84"/>
  <c r="Q85"/>
  <c r="Q76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2"/>
  <c r="Q63"/>
  <c r="Q64"/>
  <c r="Q65"/>
  <c r="Q66"/>
  <c r="Q67"/>
  <c r="Q68"/>
  <c r="Q69"/>
  <c r="Q70"/>
  <c r="Q71"/>
  <c r="Q72"/>
  <c r="Q73"/>
  <c r="Q42"/>
  <c r="Q40"/>
  <c r="Q39"/>
  <c r="Q34"/>
  <c r="Q35"/>
  <c r="Q36"/>
  <c r="Q37"/>
  <c r="Q33"/>
  <c r="Q32"/>
  <c r="Q31"/>
  <c r="Q29"/>
  <c r="Q28"/>
  <c r="Q23"/>
  <c r="Q24"/>
  <c r="Q25"/>
  <c r="Q26"/>
  <c r="Q22"/>
  <c r="Q20"/>
  <c r="Q19"/>
  <c r="Q18"/>
  <c r="Q16" s="1"/>
  <c r="Q17"/>
  <c r="Q13"/>
  <c r="Q14"/>
  <c r="Q15"/>
  <c r="P75"/>
  <c r="P41"/>
  <c r="P38"/>
  <c r="P30"/>
  <c r="P21"/>
  <c r="P16"/>
  <c r="O75"/>
  <c r="O41"/>
  <c r="O38"/>
  <c r="O30"/>
  <c r="O21"/>
  <c r="O16"/>
  <c r="N75"/>
  <c r="N41"/>
  <c r="N38"/>
  <c r="N30"/>
  <c r="N21"/>
  <c r="N16"/>
  <c r="M75"/>
  <c r="M41"/>
  <c r="M38"/>
  <c r="M30"/>
  <c r="M21"/>
  <c r="M16"/>
  <c r="L75"/>
  <c r="L41"/>
  <c r="L38"/>
  <c r="L30"/>
  <c r="L21"/>
  <c r="L16"/>
  <c r="K75"/>
  <c r="K41"/>
  <c r="K38"/>
  <c r="K30"/>
  <c r="K21"/>
  <c r="K16"/>
  <c r="J75"/>
  <c r="J41"/>
  <c r="J38"/>
  <c r="J30"/>
  <c r="J21"/>
  <c r="J16"/>
  <c r="I75"/>
  <c r="I41"/>
  <c r="I38"/>
  <c r="I30"/>
  <c r="I21"/>
  <c r="I16"/>
  <c r="H75"/>
  <c r="H41"/>
  <c r="H38"/>
  <c r="H30"/>
  <c r="H21"/>
  <c r="H16"/>
  <c r="AF90"/>
  <c r="AF77"/>
  <c r="AF78"/>
  <c r="C35" i="3" s="1"/>
  <c r="AF79" i="6"/>
  <c r="C36" i="3" s="1"/>
  <c r="AF80" i="6"/>
  <c r="C37" i="3" s="1"/>
  <c r="AF81" i="6"/>
  <c r="AF82"/>
  <c r="C39" i="3" s="1"/>
  <c r="AF83" i="6"/>
  <c r="AF84"/>
  <c r="AF85"/>
  <c r="AF89"/>
  <c r="C43" i="3" s="1"/>
  <c r="AF44" i="6"/>
  <c r="AG44" s="1"/>
  <c r="AF45"/>
  <c r="AF46"/>
  <c r="AF47"/>
  <c r="AF48"/>
  <c r="AG48" s="1"/>
  <c r="AF49"/>
  <c r="AF50"/>
  <c r="AF51"/>
  <c r="AF52"/>
  <c r="AF53"/>
  <c r="AF54"/>
  <c r="AF55"/>
  <c r="AF56"/>
  <c r="AF57"/>
  <c r="AF58"/>
  <c r="AF59"/>
  <c r="AF62"/>
  <c r="AF63"/>
  <c r="AF64"/>
  <c r="AF65"/>
  <c r="AF66"/>
  <c r="AF67"/>
  <c r="AF68"/>
  <c r="AF69"/>
  <c r="AF70"/>
  <c r="AG70" s="1"/>
  <c r="AF71"/>
  <c r="AF72"/>
  <c r="AF73"/>
  <c r="AF76"/>
  <c r="AF40"/>
  <c r="AG40" s="1"/>
  <c r="AF42"/>
  <c r="AH42" s="1"/>
  <c r="AF43"/>
  <c r="AF34"/>
  <c r="C25" i="3" s="1"/>
  <c r="AF35" i="6"/>
  <c r="C26" i="3" s="1"/>
  <c r="AF36" i="6"/>
  <c r="AF37"/>
  <c r="C28" i="3" s="1"/>
  <c r="AF39" i="6"/>
  <c r="AF32"/>
  <c r="AG32" s="1"/>
  <c r="AF33"/>
  <c r="C24" i="3" s="1"/>
  <c r="AF29" i="6"/>
  <c r="C22" i="3" s="1"/>
  <c r="AF31" i="6"/>
  <c r="AF28"/>
  <c r="C21" i="3" s="1"/>
  <c r="AF23" i="6"/>
  <c r="AF24"/>
  <c r="AG24" s="1"/>
  <c r="AF25"/>
  <c r="AF26"/>
  <c r="AF20"/>
  <c r="AF22"/>
  <c r="AH22" s="1"/>
  <c r="AF18"/>
  <c r="AF19"/>
  <c r="AF17"/>
  <c r="AH17" s="1"/>
  <c r="AF7"/>
  <c r="C7" i="3" s="1"/>
  <c r="AF8" i="6"/>
  <c r="C8" i="3" s="1"/>
  <c r="AF9" i="6"/>
  <c r="AF10"/>
  <c r="AF11"/>
  <c r="AF12"/>
  <c r="C12" i="3" s="1"/>
  <c r="AF14" i="6"/>
  <c r="AF15"/>
  <c r="AD75"/>
  <c r="AD41"/>
  <c r="AD38"/>
  <c r="AD30"/>
  <c r="AD21"/>
  <c r="AD16"/>
  <c r="AC75"/>
  <c r="AC41"/>
  <c r="AC38"/>
  <c r="AC30"/>
  <c r="AC21"/>
  <c r="AC16"/>
  <c r="AB75"/>
  <c r="AB41"/>
  <c r="AB38"/>
  <c r="AB30"/>
  <c r="AB21"/>
  <c r="AB16"/>
  <c r="AA75"/>
  <c r="AA41"/>
  <c r="AA38"/>
  <c r="AA30"/>
  <c r="AA21"/>
  <c r="AA16"/>
  <c r="Z75"/>
  <c r="Z41"/>
  <c r="Z38"/>
  <c r="Z30"/>
  <c r="Z21"/>
  <c r="Z16"/>
  <c r="Y75"/>
  <c r="Y41"/>
  <c r="Y38"/>
  <c r="Y30"/>
  <c r="Y21"/>
  <c r="Y16"/>
  <c r="X75"/>
  <c r="X41"/>
  <c r="X38"/>
  <c r="X30"/>
  <c r="X21"/>
  <c r="X16"/>
  <c r="W75"/>
  <c r="W41"/>
  <c r="W38"/>
  <c r="W30"/>
  <c r="W21"/>
  <c r="W16"/>
  <c r="V75"/>
  <c r="V41"/>
  <c r="V38"/>
  <c r="V30"/>
  <c r="V21"/>
  <c r="V16"/>
  <c r="U75"/>
  <c r="U41"/>
  <c r="U38"/>
  <c r="U30"/>
  <c r="U21"/>
  <c r="U16"/>
  <c r="T75"/>
  <c r="T41"/>
  <c r="T38"/>
  <c r="T30"/>
  <c r="T21"/>
  <c r="T16"/>
  <c r="E41"/>
  <c r="E38"/>
  <c r="S38"/>
  <c r="S30"/>
  <c r="E30"/>
  <c r="S16"/>
  <c r="E16"/>
  <c r="S21"/>
  <c r="E21"/>
  <c r="S75"/>
  <c r="E75"/>
  <c r="S41"/>
  <c r="AG15" l="1"/>
  <c r="C15" i="3"/>
  <c r="AG10" i="6"/>
  <c r="C10" i="3"/>
  <c r="AG20" i="6"/>
  <c r="C18" i="3"/>
  <c r="AG36" i="6"/>
  <c r="C27" i="3"/>
  <c r="AG77" i="6"/>
  <c r="C34" i="3"/>
  <c r="C32" s="1"/>
  <c r="AG14" i="6"/>
  <c r="C14" i="3"/>
  <c r="AH11" i="6"/>
  <c r="C11" i="3"/>
  <c r="AG9" i="6"/>
  <c r="C9" i="3"/>
  <c r="AG19" i="6"/>
  <c r="C17" i="3"/>
  <c r="K6" i="6"/>
  <c r="P6"/>
  <c r="F27"/>
  <c r="G27"/>
  <c r="AH57"/>
  <c r="AH45"/>
  <c r="AH46"/>
  <c r="AH51"/>
  <c r="AH12"/>
  <c r="AH8"/>
  <c r="AH18"/>
  <c r="AH31"/>
  <c r="AH56"/>
  <c r="AH52"/>
  <c r="AH29"/>
  <c r="AH43"/>
  <c r="AH59"/>
  <c r="AH47"/>
  <c r="F6"/>
  <c r="J6"/>
  <c r="L6"/>
  <c r="N6"/>
  <c r="AA6"/>
  <c r="AC6"/>
  <c r="AH23"/>
  <c r="I6"/>
  <c r="O6"/>
  <c r="AH62"/>
  <c r="AG62"/>
  <c r="AH54"/>
  <c r="AH39"/>
  <c r="Z6"/>
  <c r="AB6"/>
  <c r="AD6"/>
  <c r="AH28"/>
  <c r="M6"/>
  <c r="Q30"/>
  <c r="AH33"/>
  <c r="AH68"/>
  <c r="G6"/>
  <c r="G74" s="1"/>
  <c r="AH73"/>
  <c r="AH34"/>
  <c r="AH82"/>
  <c r="AH90"/>
  <c r="AH26"/>
  <c r="X6"/>
  <c r="AH7"/>
  <c r="AH64"/>
  <c r="AH67"/>
  <c r="AH63"/>
  <c r="AH85"/>
  <c r="AH81"/>
  <c r="AH83"/>
  <c r="AH84"/>
  <c r="AH80"/>
  <c r="AH70"/>
  <c r="AH69"/>
  <c r="AH37"/>
  <c r="AH36"/>
  <c r="AH35"/>
  <c r="AH50"/>
  <c r="AH89"/>
  <c r="AH14"/>
  <c r="AH76"/>
  <c r="AH40"/>
  <c r="AH60"/>
  <c r="AH58"/>
  <c r="AH49"/>
  <c r="AH48"/>
  <c r="AH32"/>
  <c r="AH44"/>
  <c r="AG90"/>
  <c r="AH79"/>
  <c r="AH77"/>
  <c r="AH25"/>
  <c r="AH24"/>
  <c r="AH20"/>
  <c r="AH19"/>
  <c r="V6"/>
  <c r="AH15"/>
  <c r="AH10"/>
  <c r="AH9"/>
  <c r="AH71"/>
  <c r="AH72"/>
  <c r="AH66"/>
  <c r="AH65"/>
  <c r="I27"/>
  <c r="L27"/>
  <c r="N27"/>
  <c r="AH55"/>
  <c r="AH53"/>
  <c r="J27"/>
  <c r="J74" s="1"/>
  <c r="O27"/>
  <c r="O74" s="1"/>
  <c r="K27"/>
  <c r="K74" s="1"/>
  <c r="M27"/>
  <c r="P27"/>
  <c r="P74" s="1"/>
  <c r="AH78"/>
  <c r="Q38"/>
  <c r="Q75"/>
  <c r="Q41"/>
  <c r="Q21"/>
  <c r="AF38"/>
  <c r="C29" i="3" s="1"/>
  <c r="C20" s="1"/>
  <c r="AG39" i="6"/>
  <c r="AG37"/>
  <c r="AG35"/>
  <c r="AG34"/>
  <c r="AG33"/>
  <c r="AG31"/>
  <c r="AF30"/>
  <c r="C23" i="3" s="1"/>
  <c r="AG29" i="6"/>
  <c r="AG45"/>
  <c r="AG28"/>
  <c r="AG43"/>
  <c r="AG79"/>
  <c r="AG78"/>
  <c r="AF75"/>
  <c r="AG75" s="1"/>
  <c r="AF16"/>
  <c r="C16" i="3" s="1"/>
  <c r="AG18" i="6"/>
  <c r="AF21"/>
  <c r="C19" i="3" s="1"/>
  <c r="AG12" i="6"/>
  <c r="AG8"/>
  <c r="AG7"/>
  <c r="H27"/>
  <c r="H6"/>
  <c r="AF41"/>
  <c r="C30" i="3" s="1"/>
  <c r="AG67" i="6"/>
  <c r="AG63"/>
  <c r="AG58"/>
  <c r="AG68"/>
  <c r="AG46"/>
  <c r="AG73"/>
  <c r="AG69"/>
  <c r="AG60"/>
  <c r="AG52"/>
  <c r="AG47"/>
  <c r="V27"/>
  <c r="W6"/>
  <c r="X27"/>
  <c r="Y6"/>
  <c r="Z27"/>
  <c r="AC27"/>
  <c r="AC74" s="1"/>
  <c r="AC87" s="1"/>
  <c r="T27"/>
  <c r="AA27"/>
  <c r="AA74" s="1"/>
  <c r="AD27"/>
  <c r="U27"/>
  <c r="W27"/>
  <c r="Y27"/>
  <c r="AB27"/>
  <c r="E27"/>
  <c r="E6"/>
  <c r="S27"/>
  <c r="F74" l="1"/>
  <c r="F91" s="1"/>
  <c r="F87"/>
  <c r="P91"/>
  <c r="P87"/>
  <c r="J91"/>
  <c r="J87"/>
  <c r="G91"/>
  <c r="G87"/>
  <c r="O91"/>
  <c r="O87"/>
  <c r="K91"/>
  <c r="K87"/>
  <c r="AA91"/>
  <c r="AA87"/>
  <c r="L74"/>
  <c r="N74"/>
  <c r="AD74"/>
  <c r="AB74"/>
  <c r="M74"/>
  <c r="I74"/>
  <c r="Z74"/>
  <c r="X74"/>
  <c r="W74"/>
  <c r="AH38"/>
  <c r="AG30"/>
  <c r="AH30"/>
  <c r="AH75"/>
  <c r="V74"/>
  <c r="AH16"/>
  <c r="AG41"/>
  <c r="AH41"/>
  <c r="Q6"/>
  <c r="AH21"/>
  <c r="Q27"/>
  <c r="AG38"/>
  <c r="AG16"/>
  <c r="AG21"/>
  <c r="H74"/>
  <c r="AF27"/>
  <c r="Y74"/>
  <c r="AC91"/>
  <c r="E74"/>
  <c r="I91" l="1"/>
  <c r="I87"/>
  <c r="N91"/>
  <c r="N87"/>
  <c r="E91"/>
  <c r="E87"/>
  <c r="H91"/>
  <c r="H87"/>
  <c r="M91"/>
  <c r="M87"/>
  <c r="L91"/>
  <c r="L87"/>
  <c r="X91"/>
  <c r="X87"/>
  <c r="AB91"/>
  <c r="AB87"/>
  <c r="W91"/>
  <c r="W87"/>
  <c r="V91"/>
  <c r="V87"/>
  <c r="Y91"/>
  <c r="Y87"/>
  <c r="Z91"/>
  <c r="Z87"/>
  <c r="AD91"/>
  <c r="AD87"/>
  <c r="Q74"/>
  <c r="Q87" s="1"/>
  <c r="AH27"/>
  <c r="AG27"/>
  <c r="Q91" l="1"/>
  <c r="S74"/>
  <c r="S87" s="1"/>
  <c r="S6"/>
  <c r="T13"/>
  <c r="U13" l="1"/>
  <c r="U6" s="1"/>
  <c r="U74" s="1"/>
  <c r="T6"/>
  <c r="S91"/>
  <c r="U91" l="1"/>
  <c r="U87"/>
  <c r="AF13"/>
  <c r="AF6"/>
  <c r="T74"/>
  <c r="C13" i="3" l="1"/>
  <c r="C6" s="1"/>
  <c r="C31" s="1"/>
  <c r="C45" s="1"/>
  <c r="AG13" i="6"/>
  <c r="AH13"/>
  <c r="AH6"/>
  <c r="AG6"/>
  <c r="T91"/>
  <c r="T87"/>
  <c r="AF74"/>
  <c r="AG74" l="1"/>
  <c r="AF87"/>
  <c r="AH74"/>
  <c r="AF91"/>
  <c r="AF95" s="1"/>
  <c r="AH91" l="1"/>
  <c r="AG91"/>
</calcChain>
</file>

<file path=xl/sharedStrings.xml><?xml version="1.0" encoding="utf-8"?>
<sst xmlns="http://schemas.openxmlformats.org/spreadsheetml/2006/main" count="1572" uniqueCount="548">
  <si>
    <t>§</t>
  </si>
  <si>
    <t>položka</t>
  </si>
  <si>
    <t>Školení</t>
  </si>
  <si>
    <t>celkem</t>
  </si>
  <si>
    <t>Dohody</t>
  </si>
  <si>
    <t>Elektřina</t>
  </si>
  <si>
    <t>Investiční fond</t>
  </si>
  <si>
    <t>Provozní náklady</t>
  </si>
  <si>
    <t>Plyn</t>
  </si>
  <si>
    <t>Celkem</t>
  </si>
  <si>
    <t>Pojištění</t>
  </si>
  <si>
    <t>I. Kultura</t>
  </si>
  <si>
    <r>
      <rPr>
        <b/>
        <sz val="10"/>
        <color indexed="10"/>
        <rFont val="Arial"/>
        <family val="2"/>
        <charset val="238"/>
      </rPr>
      <t>5152</t>
    </r>
    <r>
      <rPr>
        <b/>
        <sz val="10"/>
        <rFont val="Arial"/>
        <family val="2"/>
        <charset val="238"/>
      </rPr>
      <t xml:space="preserve"> - Teplo - </t>
    </r>
    <r>
      <rPr>
        <sz val="10"/>
        <color indexed="12"/>
        <rFont val="Arial"/>
        <family val="2"/>
        <charset val="238"/>
      </rPr>
      <t>plyn se nakupuje jako teplo</t>
    </r>
  </si>
  <si>
    <t>II. Rodný dům A. Němejce</t>
  </si>
  <si>
    <t>III. Partnerská města</t>
  </si>
  <si>
    <t>SDH Nepomuk</t>
  </si>
  <si>
    <t>Rozpočet</t>
  </si>
  <si>
    <t>3314 - Činnosti knihovnické</t>
  </si>
  <si>
    <t>3612 - Bytové hospodářství</t>
  </si>
  <si>
    <t>3613 - Nebytové hospodářství</t>
  </si>
  <si>
    <t>3631 - Veřejné osvětlení</t>
  </si>
  <si>
    <t>3632 - Pohřebnictví</t>
  </si>
  <si>
    <t>Vytváření rezerv</t>
  </si>
  <si>
    <t>Převody účtů</t>
  </si>
  <si>
    <t xml:space="preserve">Výdaje celkem </t>
  </si>
  <si>
    <t>DPFO § 6</t>
  </si>
  <si>
    <t>DPFO § 7</t>
  </si>
  <si>
    <t>DPFO § 8</t>
  </si>
  <si>
    <t>DPPO</t>
  </si>
  <si>
    <t>DPPO za obec</t>
  </si>
  <si>
    <t>DPH</t>
  </si>
  <si>
    <t>Poplatek - komun.odpad</t>
  </si>
  <si>
    <t>Poplatek ze psů</t>
  </si>
  <si>
    <t>Poplatek za veř.prostranství</t>
  </si>
  <si>
    <t>Poplatek z hracích automatů</t>
  </si>
  <si>
    <t>Správní poplatky</t>
  </si>
  <si>
    <t>Ostatní daně a poplatky</t>
  </si>
  <si>
    <t>Nedaňové příjmy</t>
  </si>
  <si>
    <t>Příjmy z pronájmu pozemků</t>
  </si>
  <si>
    <t>Příjmy z nebytových prostor</t>
  </si>
  <si>
    <t>Příjmy z pronájmu - bytové h.</t>
  </si>
  <si>
    <t>Příjmy z lesního hospodářství</t>
  </si>
  <si>
    <t xml:space="preserve">Příjmy z knihovny </t>
  </si>
  <si>
    <t>Příjmy z kultury</t>
  </si>
  <si>
    <t>Příjmy ze hřbitova</t>
  </si>
  <si>
    <t>Pečovatelská služba</t>
  </si>
  <si>
    <t>Ostatní nedaňové příjmy</t>
  </si>
  <si>
    <t>Vlastní příjmy celkem</t>
  </si>
  <si>
    <t>Dotace celkem</t>
  </si>
  <si>
    <t>Příjmy celkem</t>
  </si>
  <si>
    <t>Financování - soc.fond</t>
  </si>
  <si>
    <t>v tis.Kč</t>
  </si>
  <si>
    <t>Zateplení pavlače - bytové hospodářství</t>
  </si>
  <si>
    <t>Rezerva</t>
  </si>
  <si>
    <t>Nákup pozemků</t>
  </si>
  <si>
    <t>Obytná zóna za elektrárenskými bytovkami</t>
  </si>
  <si>
    <t>Urnový háj</t>
  </si>
  <si>
    <t>Zateplení ZŠ</t>
  </si>
  <si>
    <t>Kruhový objezd U Normy</t>
  </si>
  <si>
    <t>Kruhový objezd Pyramida</t>
  </si>
  <si>
    <t>Zastřešení letní scény</t>
  </si>
  <si>
    <t>Územní plán Města Nepomuk</t>
  </si>
  <si>
    <t>Kamerový systém</t>
  </si>
  <si>
    <t>% plnění ke schválenému 
k rozpočtu</t>
  </si>
  <si>
    <t>% plnění k upravenému rozpočtu</t>
  </si>
  <si>
    <t>0000</t>
  </si>
  <si>
    <t>poplatek z hracích automatů</t>
  </si>
  <si>
    <t xml:space="preserve">                                             poplatek za lázeňský nebo rekr. pobyt</t>
  </si>
  <si>
    <t>poplatek ze vstupného</t>
  </si>
  <si>
    <t>poplatek z ubytovací kapacity</t>
  </si>
  <si>
    <t>ostatní odvody z vybr. činností a služeb jinde neuvedené</t>
  </si>
  <si>
    <t>1031</t>
  </si>
  <si>
    <t>3314</t>
  </si>
  <si>
    <t>3319</t>
  </si>
  <si>
    <t>příjmy z prodeje zboží</t>
  </si>
  <si>
    <t>3612</t>
  </si>
  <si>
    <t>3632</t>
  </si>
  <si>
    <t>4351</t>
  </si>
  <si>
    <t>6171</t>
  </si>
  <si>
    <t>Příjmy z úroků</t>
  </si>
  <si>
    <t>6310</t>
  </si>
  <si>
    <t>Přijaté nekapit.příspěvky, náhrady</t>
  </si>
  <si>
    <t>1014</t>
  </si>
  <si>
    <t>2141</t>
  </si>
  <si>
    <t>Vnitřní obchod - sankční platby přijaté od jiných subjektů</t>
  </si>
  <si>
    <t>2229</t>
  </si>
  <si>
    <t>Ostatní zál.v silnič.dopravě - sankční platby přijaté od jiných subjektů</t>
  </si>
  <si>
    <t>2310</t>
  </si>
  <si>
    <t>Pitná voda - příjmy z pronájmu ost. nemovitostí</t>
  </si>
  <si>
    <t>3322</t>
  </si>
  <si>
    <t>Zach. a obnova kult.pam. - sankční platby přijaté od jiných subjektů</t>
  </si>
  <si>
    <t>3412</t>
  </si>
  <si>
    <t>Sport. zař. v majetku obce - příjmy z poskyt.služ. a výr.</t>
  </si>
  <si>
    <t>3639</t>
  </si>
  <si>
    <t>Komun.služby a územní rozvoj - ost.příjmy z vlastní činnosti</t>
  </si>
  <si>
    <t>3719</t>
  </si>
  <si>
    <t>Ost.činn. k ochraně ovzduší - sankční platby přijaté od jiných subjektů</t>
  </si>
  <si>
    <t>3722</t>
  </si>
  <si>
    <t>Sběr a svoz komunálních odpadů - ost.nedaňové př. jinde nezařazené</t>
  </si>
  <si>
    <t>3729</t>
  </si>
  <si>
    <t>Ostatní nakládání s odpady - sankční platby přijaté od jiných subjektů</t>
  </si>
  <si>
    <t>3739</t>
  </si>
  <si>
    <t>Ost.ochr.půdy a spod.vody - sankční platby přijaté od jiných subjektů</t>
  </si>
  <si>
    <t>3749</t>
  </si>
  <si>
    <t>Ost.čin. k ochr.přír.a krajiny - sankční platby přijaté od jiných subjektů</t>
  </si>
  <si>
    <t>4399</t>
  </si>
  <si>
    <t>Ost.zál.soc.věcí a pol.zam.- ost.nedaňové př. jinde nezařazené</t>
  </si>
  <si>
    <t>5311</t>
  </si>
  <si>
    <t>Bezpečnost a veř.pořádek - sankční platby přijaté od jiných subjektů</t>
  </si>
  <si>
    <t>5511</t>
  </si>
  <si>
    <t xml:space="preserve">Požární ochrana profesionální část - příjmy z poskyt.služ. a výr. </t>
  </si>
  <si>
    <t>Činnost místní správy - příjmy z poskyt.služ. a výr.</t>
  </si>
  <si>
    <t>Činnost místní správy - sankční platby přijaté od jiných subjektů</t>
  </si>
  <si>
    <t>Čin. místní správy - ost.př.z fin.vypořádání z min.let od jin.veř.rozp.</t>
  </si>
  <si>
    <t>Činnost místní správy - přijaté neinvestiční dary</t>
  </si>
  <si>
    <t>Činnost místní správy - přijaté pojistné náhrady</t>
  </si>
  <si>
    <t>Činnost místní správy - přijaté nekapitálové příspěvky,náhrady</t>
  </si>
  <si>
    <t>Činnost místní správy - ost.nedaňové př. jinde nezařazené</t>
  </si>
  <si>
    <t>Činnost místní správy - příjmy z prodeje pozemků</t>
  </si>
  <si>
    <t>Činnost místní správy - příjmy z prodeje ost.nemovitostí</t>
  </si>
  <si>
    <t>Činnost místní správy - příjmy z prodeje ost.hmotného dlouhodob.maj.</t>
  </si>
  <si>
    <t>6399</t>
  </si>
  <si>
    <t>Ost.fin.operace - ost.př.z fin.vypořádání z min.let od jin.veř.rozp.</t>
  </si>
  <si>
    <t>6409</t>
  </si>
  <si>
    <t>Ost.činnosti jinde nezařazené - neidentifikované příjmy</t>
  </si>
  <si>
    <t>převody rozpočtových účtů</t>
  </si>
  <si>
    <t>Odvětrání kotelen ulic Pivovarská a Za Kostelem</t>
  </si>
  <si>
    <t>4111 - Dotace</t>
  </si>
  <si>
    <t>4112 - Dotace</t>
  </si>
  <si>
    <t>4116 - Dotace</t>
  </si>
  <si>
    <t>4121 - Dotace</t>
  </si>
  <si>
    <t>4122 - Dotace</t>
  </si>
  <si>
    <t>4123 - Dotace</t>
  </si>
  <si>
    <t>4213 - Dotace</t>
  </si>
  <si>
    <t>4216 - Dotace</t>
  </si>
  <si>
    <t>4222 - Dotace</t>
  </si>
  <si>
    <t>4223 - Dotace</t>
  </si>
  <si>
    <t>Ostatní tělovýchovná činnost - splátky půjč.prostř. od obecně prosp.spol.</t>
  </si>
  <si>
    <t>3613</t>
  </si>
  <si>
    <t xml:space="preserve">Nebytové hospodářství -  příjmy z poskyt.služ. a výr. </t>
  </si>
  <si>
    <t>3900</t>
  </si>
  <si>
    <t>Činnost místní správy - ost.příjmy z vlastní činnosti</t>
  </si>
  <si>
    <t>3.rozpočtové opatření (podrobně dle Fenixu)</t>
  </si>
  <si>
    <t>1.rozpočtové opatření (podrobně dle Fenixu)</t>
  </si>
  <si>
    <t>2.rozpočtové opatření (podrobně dle Fenixu)</t>
  </si>
  <si>
    <t>4.rozpočtové opatření (podrobně dle Fenixu)</t>
  </si>
  <si>
    <t>5.rozpočtové opatření (podrobně dle Fenixu)</t>
  </si>
  <si>
    <t>6.rozpočtové opatření (podrobně dle Fenixu)</t>
  </si>
  <si>
    <t>7.rozpočtové opatření (podrobně dle Fenixu)</t>
  </si>
  <si>
    <t>8.rozpočtové opatření (podrobně dle Fenixu)</t>
  </si>
  <si>
    <t>9.rozpočtové opatření (podrobně dle Fenixu)</t>
  </si>
  <si>
    <t>10.rozpočtové opatření (podrobně dle Fenixu)</t>
  </si>
  <si>
    <t>11.rozpočtové opatření (podrobně dle Fenixu)</t>
  </si>
  <si>
    <t>12.rozpočtové opatření (podrobně dle Fenixu)</t>
  </si>
  <si>
    <t>Ozdravování hospodářských zvířat, polních a speciálních plodin a zvláštní veterinární péče</t>
  </si>
  <si>
    <t>Finanční vypořádání minulých let</t>
  </si>
  <si>
    <t>SU   AU    UZ   ORG   KA    §</t>
  </si>
  <si>
    <t>231 30                        09   1014</t>
  </si>
  <si>
    <r>
      <rPr>
        <b/>
        <sz val="10"/>
        <color indexed="10"/>
        <rFont val="Arial"/>
        <family val="2"/>
        <charset val="238"/>
      </rPr>
      <t>5139</t>
    </r>
    <r>
      <rPr>
        <sz val="10"/>
        <rFont val="Arial"/>
        <family val="2"/>
        <charset val="238"/>
      </rPr>
      <t xml:space="preserve"> - Materiál</t>
    </r>
  </si>
  <si>
    <r>
      <rPr>
        <b/>
        <sz val="10"/>
        <color indexed="10"/>
        <rFont val="Arial"/>
        <family val="2"/>
        <charset val="238"/>
      </rPr>
      <t>5167</t>
    </r>
    <r>
      <rPr>
        <sz val="10"/>
        <rFont val="Arial"/>
        <family val="2"/>
        <charset val="238"/>
      </rPr>
      <t xml:space="preserve"> - Služby školení a vzdělávání</t>
    </r>
  </si>
  <si>
    <r>
      <rPr>
        <b/>
        <sz val="10"/>
        <color indexed="10"/>
        <rFont val="Arial"/>
        <family val="2"/>
        <charset val="238"/>
      </rPr>
      <t>5169</t>
    </r>
    <r>
      <rPr>
        <sz val="10"/>
        <rFont val="Arial"/>
        <family val="2"/>
        <charset val="238"/>
      </rPr>
      <t xml:space="preserve"> - Nákup ostatních služeb</t>
    </r>
  </si>
  <si>
    <t>231 30                        09   1031</t>
  </si>
  <si>
    <r>
      <rPr>
        <b/>
        <sz val="10"/>
        <color indexed="10"/>
        <rFont val="Arial"/>
        <family val="2"/>
        <charset val="238"/>
      </rPr>
      <t>5011</t>
    </r>
    <r>
      <rPr>
        <sz val="10"/>
        <rFont val="Arial"/>
        <family val="2"/>
        <charset val="238"/>
      </rPr>
      <t xml:space="preserve"> - platy zaměstnanců</t>
    </r>
  </si>
  <si>
    <r>
      <rPr>
        <b/>
        <sz val="10"/>
        <color indexed="10"/>
        <rFont val="Arial"/>
        <family val="2"/>
        <charset val="238"/>
      </rPr>
      <t>5021</t>
    </r>
    <r>
      <rPr>
        <sz val="10"/>
        <rFont val="Arial"/>
        <family val="2"/>
        <charset val="238"/>
      </rPr>
      <t xml:space="preserve"> - Ostatní osobní výdaje</t>
    </r>
  </si>
  <si>
    <r>
      <rPr>
        <b/>
        <sz val="10"/>
        <color indexed="10"/>
        <rFont val="Arial"/>
        <family val="2"/>
        <charset val="238"/>
      </rPr>
      <t>5031</t>
    </r>
    <r>
      <rPr>
        <sz val="10"/>
        <rFont val="Arial"/>
        <family val="2"/>
        <charset val="238"/>
      </rPr>
      <t xml:space="preserve"> - Povinné pojistné na soc.zabezpečení a přís. na st.polit.zam.</t>
    </r>
  </si>
  <si>
    <r>
      <rPr>
        <b/>
        <sz val="10"/>
        <color indexed="10"/>
        <rFont val="Arial"/>
        <family val="2"/>
        <charset val="238"/>
      </rPr>
      <t>5032</t>
    </r>
    <r>
      <rPr>
        <sz val="10"/>
        <rFont val="Arial"/>
        <family val="2"/>
        <charset val="238"/>
      </rPr>
      <t xml:space="preserve"> - Povinné pojistné na veřejné zdravotní pojištění</t>
    </r>
  </si>
  <si>
    <r>
      <rPr>
        <b/>
        <sz val="10"/>
        <color indexed="10"/>
        <rFont val="Arial"/>
        <family val="2"/>
        <charset val="238"/>
      </rPr>
      <t>5038</t>
    </r>
    <r>
      <rPr>
        <sz val="10"/>
        <rFont val="Arial"/>
        <family val="2"/>
        <charset val="238"/>
      </rPr>
      <t xml:space="preserve"> - Povinné pojistné na úrazové pojištění</t>
    </r>
  </si>
  <si>
    <r>
      <rPr>
        <b/>
        <sz val="10"/>
        <color indexed="10"/>
        <rFont val="Arial"/>
        <family val="2"/>
        <charset val="238"/>
      </rPr>
      <t>5134</t>
    </r>
    <r>
      <rPr>
        <sz val="10"/>
        <rFont val="Arial"/>
        <family val="2"/>
        <charset val="238"/>
      </rPr>
      <t xml:space="preserve"> - Prádlo, oděv, obuv</t>
    </r>
  </si>
  <si>
    <r>
      <rPr>
        <b/>
        <sz val="10"/>
        <color indexed="10"/>
        <rFont val="Arial"/>
        <family val="2"/>
        <charset val="238"/>
      </rPr>
      <t>5137</t>
    </r>
    <r>
      <rPr>
        <sz val="10"/>
        <rFont val="Arial"/>
        <family val="2"/>
        <charset val="238"/>
      </rPr>
      <t xml:space="preserve"> - Drobný hmotný dlouhodobý majetek</t>
    </r>
  </si>
  <si>
    <r>
      <rPr>
        <b/>
        <sz val="10"/>
        <color indexed="10"/>
        <rFont val="Arial"/>
        <family val="2"/>
        <charset val="238"/>
      </rPr>
      <t>5139</t>
    </r>
    <r>
      <rPr>
        <sz val="10"/>
        <rFont val="Arial"/>
        <family val="2"/>
        <charset val="238"/>
      </rPr>
      <t xml:space="preserve"> - Nákup materiálu jinde nezařazený</t>
    </r>
  </si>
  <si>
    <r>
      <rPr>
        <b/>
        <sz val="10"/>
        <color indexed="10"/>
        <rFont val="Arial"/>
        <family val="2"/>
        <charset val="238"/>
      </rPr>
      <t>5156</t>
    </r>
    <r>
      <rPr>
        <sz val="10"/>
        <rFont val="Arial"/>
        <family val="2"/>
        <charset val="238"/>
      </rPr>
      <t xml:space="preserve"> - Pohonné hmoty a maziva</t>
    </r>
  </si>
  <si>
    <r>
      <rPr>
        <b/>
        <sz val="10"/>
        <color indexed="10"/>
        <rFont val="Arial"/>
        <family val="2"/>
        <charset val="238"/>
      </rPr>
      <t>5162</t>
    </r>
    <r>
      <rPr>
        <sz val="10"/>
        <rFont val="Arial"/>
        <family val="2"/>
        <charset val="238"/>
      </rPr>
      <t xml:space="preserve"> - Služby telekomunikací a radiokomunikací</t>
    </r>
  </si>
  <si>
    <r>
      <rPr>
        <b/>
        <sz val="10"/>
        <color indexed="10"/>
        <rFont val="Arial"/>
        <family val="2"/>
        <charset val="238"/>
      </rPr>
      <t>5163</t>
    </r>
    <r>
      <rPr>
        <sz val="10"/>
        <rFont val="Arial"/>
        <family val="2"/>
        <charset val="238"/>
      </rPr>
      <t xml:space="preserve"> - Služby peněžních ústavů</t>
    </r>
  </si>
  <si>
    <r>
      <rPr>
        <b/>
        <sz val="10"/>
        <color indexed="10"/>
        <rFont val="Arial"/>
        <family val="2"/>
        <charset val="238"/>
      </rPr>
      <t>5171</t>
    </r>
    <r>
      <rPr>
        <sz val="10"/>
        <rFont val="Arial"/>
        <family val="2"/>
        <charset val="238"/>
      </rPr>
      <t xml:space="preserve"> - Opravy a udržování</t>
    </r>
  </si>
  <si>
    <r>
      <rPr>
        <b/>
        <sz val="10"/>
        <color indexed="10"/>
        <rFont val="Arial"/>
        <family val="2"/>
        <charset val="238"/>
      </rPr>
      <t>5362</t>
    </r>
    <r>
      <rPr>
        <sz val="10"/>
        <rFont val="Arial"/>
        <family val="2"/>
        <charset val="238"/>
      </rPr>
      <t xml:space="preserve"> - Platby daní a poplatků státnímu rozpočtu</t>
    </r>
  </si>
  <si>
    <r>
      <rPr>
        <b/>
        <sz val="10"/>
        <color indexed="10"/>
        <rFont val="Arial"/>
        <family val="2"/>
        <charset val="238"/>
      </rPr>
      <t>5424</t>
    </r>
    <r>
      <rPr>
        <sz val="10"/>
        <rFont val="Arial"/>
        <family val="2"/>
        <charset val="238"/>
      </rPr>
      <t xml:space="preserve"> - Náhrady mezd v době nemoci </t>
    </r>
  </si>
  <si>
    <r>
      <rPr>
        <b/>
        <sz val="10"/>
        <color indexed="10"/>
        <rFont val="Arial"/>
        <family val="2"/>
        <charset val="238"/>
      </rPr>
      <t>5499</t>
    </r>
    <r>
      <rPr>
        <sz val="10"/>
        <rFont val="Arial"/>
        <family val="2"/>
        <charset val="238"/>
      </rPr>
      <t xml:space="preserve"> - Ostaní neinvestiční transfery obyvatelstvu</t>
    </r>
  </si>
  <si>
    <t>231 30                        09   1036</t>
  </si>
  <si>
    <t>231 30                        10   2212</t>
  </si>
  <si>
    <r>
      <rPr>
        <b/>
        <sz val="10"/>
        <color indexed="10"/>
        <rFont val="Arial"/>
        <family val="2"/>
        <charset val="238"/>
      </rPr>
      <t>5137</t>
    </r>
    <r>
      <rPr>
        <sz val="10"/>
        <rFont val="Arial"/>
        <family val="2"/>
        <charset val="238"/>
      </rPr>
      <t xml:space="preserve"> - DHDM (dopravní značky)</t>
    </r>
  </si>
  <si>
    <r>
      <rPr>
        <b/>
        <sz val="10"/>
        <color indexed="10"/>
        <rFont val="Arial"/>
        <family val="2"/>
        <charset val="238"/>
      </rPr>
      <t>5139</t>
    </r>
    <r>
      <rPr>
        <sz val="10"/>
        <rFont val="Arial"/>
        <family val="2"/>
        <charset val="238"/>
      </rPr>
      <t xml:space="preserve"> - Materiál (posypové materiály)</t>
    </r>
  </si>
  <si>
    <r>
      <rPr>
        <b/>
        <sz val="10"/>
        <color indexed="10"/>
        <rFont val="Arial"/>
        <family val="2"/>
        <charset val="238"/>
      </rPr>
      <t>5154</t>
    </r>
    <r>
      <rPr>
        <sz val="10"/>
        <rFont val="Arial"/>
        <family val="2"/>
        <charset val="238"/>
      </rPr>
      <t xml:space="preserve"> - Elektrická energie</t>
    </r>
  </si>
  <si>
    <r>
      <rPr>
        <b/>
        <sz val="10"/>
        <color indexed="10"/>
        <rFont val="Arial"/>
        <family val="2"/>
        <charset val="238"/>
      </rPr>
      <t>5171</t>
    </r>
    <r>
      <rPr>
        <sz val="10"/>
        <rFont val="Arial"/>
        <family val="2"/>
        <charset val="238"/>
      </rPr>
      <t xml:space="preserve"> - Opravy a udržování (opravy výtluků po zimě)</t>
    </r>
  </si>
  <si>
    <r>
      <rPr>
        <b/>
        <sz val="10"/>
        <color indexed="10"/>
        <rFont val="Arial"/>
        <family val="2"/>
        <charset val="238"/>
      </rPr>
      <t>5193</t>
    </r>
    <r>
      <rPr>
        <sz val="10"/>
        <rFont val="Arial"/>
        <family val="2"/>
        <charset val="238"/>
      </rPr>
      <t xml:space="preserve"> - Výdaje na dopravní územní obslužnost</t>
    </r>
  </si>
  <si>
    <t>231 30                        02   2310</t>
  </si>
  <si>
    <r>
      <rPr>
        <b/>
        <sz val="10"/>
        <color indexed="10"/>
        <rFont val="Arial"/>
        <family val="2"/>
        <charset val="238"/>
      </rPr>
      <t>5151</t>
    </r>
    <r>
      <rPr>
        <sz val="10"/>
        <rFont val="Arial"/>
        <family val="2"/>
        <charset val="238"/>
      </rPr>
      <t xml:space="preserve"> - Studená voda</t>
    </r>
  </si>
  <si>
    <t>231 30                        02   2321</t>
  </si>
  <si>
    <t>231 30                        14   3111</t>
  </si>
  <si>
    <r>
      <rPr>
        <b/>
        <sz val="10"/>
        <color indexed="10"/>
        <rFont val="Arial"/>
        <family val="2"/>
        <charset val="238"/>
      </rPr>
      <t>5331</t>
    </r>
    <r>
      <rPr>
        <sz val="10"/>
        <rFont val="Arial"/>
        <family val="2"/>
        <charset val="238"/>
      </rPr>
      <t xml:space="preserve"> - Neinvestiční příspěvky zřízeným příspěvkovým 
          organizacím</t>
    </r>
  </si>
  <si>
    <t>Provozní náklady budou využity takto:</t>
  </si>
  <si>
    <t>Vodné, stočné</t>
  </si>
  <si>
    <t>Odpad + LAPOL</t>
  </si>
  <si>
    <t>Poplatky bance</t>
  </si>
  <si>
    <t>Pojistky budov, dětí</t>
  </si>
  <si>
    <t>Tisk</t>
  </si>
  <si>
    <t>Revize zařízení, kamna, komíny, elektr.has.</t>
  </si>
  <si>
    <t>Telefony, poštovné</t>
  </si>
  <si>
    <t>Úklidové a mycí prostředky, hygienické potřeby</t>
  </si>
  <si>
    <t>Služby účetní, informatika, kabelovky, čistící aj.</t>
  </si>
  <si>
    <t>Obnova vybavení, prádlo, nádobí</t>
  </si>
  <si>
    <t>Pomůcky na výuku, výtvarné potřeby</t>
  </si>
  <si>
    <t>Malování tříd</t>
  </si>
  <si>
    <t>Nákup softwaru</t>
  </si>
  <si>
    <t>Údržba - materiál, opravy v obou MŠ</t>
  </si>
  <si>
    <t>Kancelářské potřeby</t>
  </si>
  <si>
    <t>231 30                        14   3113</t>
  </si>
  <si>
    <t>Provozní náklady budou u ZŠ Nepomuk využity takto:</t>
  </si>
  <si>
    <t>Odpady jímky</t>
  </si>
  <si>
    <t>Bankovní poplatky</t>
  </si>
  <si>
    <t>Úklidové prostředky</t>
  </si>
  <si>
    <t>Materiál na opravy</t>
  </si>
  <si>
    <t>Provozní revize</t>
  </si>
  <si>
    <t>Pojistné</t>
  </si>
  <si>
    <t>kancelářské potřeby, materiál</t>
  </si>
  <si>
    <t>učební pomůcky</t>
  </si>
  <si>
    <t>drobné opravy a udržování - budova</t>
  </si>
  <si>
    <t>ostatní služby provoz, cestovné</t>
  </si>
  <si>
    <t>231 30                        14   3231</t>
  </si>
  <si>
    <t>Hudební nástroje, učební pomůcky, nábytek, SW</t>
  </si>
  <si>
    <t>Odborná literatura</t>
  </si>
  <si>
    <t>Čistící a úklidové prostředky</t>
  </si>
  <si>
    <t>Spotřeba energie</t>
  </si>
  <si>
    <t>Poštovné, telefon</t>
  </si>
  <si>
    <t>Účetnictví</t>
  </si>
  <si>
    <t>Cestovné, silniční daň</t>
  </si>
  <si>
    <t>Opravy, ladění, servis</t>
  </si>
  <si>
    <t>Spotřební výukový materiál</t>
  </si>
  <si>
    <t>Nájemné ZŠ Nepomuk</t>
  </si>
  <si>
    <t>Nájemné ZŠ Kasejovice</t>
  </si>
  <si>
    <t>Nájemné ZŠ Žinkovy</t>
  </si>
  <si>
    <t>VÝDAJE CELKEM</t>
  </si>
  <si>
    <t>Příjmy za školné</t>
  </si>
  <si>
    <t>VÝDAJE PO ODPOČTU PŘÍJMŮ</t>
  </si>
  <si>
    <t xml:space="preserve">Činnosti knihovnické </t>
  </si>
  <si>
    <t>231 30                        16   3314</t>
  </si>
  <si>
    <r>
      <rPr>
        <b/>
        <sz val="10"/>
        <color indexed="10"/>
        <rFont val="Arial"/>
        <family val="2"/>
        <charset val="238"/>
      </rPr>
      <t>5011</t>
    </r>
    <r>
      <rPr>
        <sz val="10"/>
        <rFont val="Arial"/>
        <family val="2"/>
        <charset val="238"/>
      </rPr>
      <t xml:space="preserve"> - Platy zaměstnanců v pracovním poměru</t>
    </r>
  </si>
  <si>
    <r>
      <rPr>
        <b/>
        <sz val="10"/>
        <color indexed="10"/>
        <rFont val="Arial"/>
        <family val="2"/>
        <charset val="238"/>
      </rPr>
      <t>5136</t>
    </r>
    <r>
      <rPr>
        <sz val="10"/>
        <rFont val="Arial"/>
        <family val="2"/>
        <charset val="238"/>
      </rPr>
      <t xml:space="preserve"> - Knihy, učební pomůcky a tisk</t>
    </r>
  </si>
  <si>
    <r>
      <rPr>
        <b/>
        <sz val="10"/>
        <color indexed="10"/>
        <rFont val="Arial"/>
        <family val="2"/>
        <charset val="238"/>
      </rPr>
      <t>5161</t>
    </r>
    <r>
      <rPr>
        <sz val="10"/>
        <rFont val="Arial"/>
        <family val="2"/>
        <charset val="238"/>
      </rPr>
      <t xml:space="preserve"> - Služby pošt</t>
    </r>
  </si>
  <si>
    <r>
      <rPr>
        <b/>
        <sz val="10"/>
        <color indexed="10"/>
        <rFont val="Arial"/>
        <family val="2"/>
        <charset val="238"/>
      </rPr>
      <t xml:space="preserve">5162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Služby telekomuniakcí a radiokomunikací</t>
    </r>
  </si>
  <si>
    <r>
      <rPr>
        <b/>
        <sz val="10"/>
        <color indexed="10"/>
        <rFont val="Arial"/>
        <family val="2"/>
        <charset val="238"/>
      </rPr>
      <t xml:space="preserve">5167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Služby školení a vzdělávání</t>
    </r>
  </si>
  <si>
    <r>
      <rPr>
        <b/>
        <sz val="10"/>
        <color indexed="10"/>
        <rFont val="Arial"/>
        <family val="2"/>
        <charset val="238"/>
      </rPr>
      <t>5172</t>
    </r>
    <r>
      <rPr>
        <sz val="10"/>
        <rFont val="Arial"/>
        <family val="2"/>
        <charset val="238"/>
      </rPr>
      <t xml:space="preserve"> - Programové vybavení</t>
    </r>
  </si>
  <si>
    <r>
      <rPr>
        <b/>
        <sz val="10"/>
        <color indexed="10"/>
        <rFont val="Arial"/>
        <family val="2"/>
        <charset val="238"/>
      </rPr>
      <t>5173</t>
    </r>
    <r>
      <rPr>
        <sz val="10"/>
        <rFont val="Arial"/>
        <family val="2"/>
        <charset val="238"/>
      </rPr>
      <t xml:space="preserve"> - Cestovné (tuzemské i zahraniční)</t>
    </r>
  </si>
  <si>
    <r>
      <rPr>
        <b/>
        <sz val="10"/>
        <color indexed="10"/>
        <rFont val="Arial"/>
        <family val="2"/>
        <charset val="238"/>
      </rPr>
      <t>5229</t>
    </r>
    <r>
      <rPr>
        <sz val="10"/>
        <rFont val="Arial"/>
        <family val="2"/>
        <charset val="238"/>
      </rPr>
      <t xml:space="preserve"> - Ostatní neinvestiční transfery neziskovým a podobným org.</t>
    </r>
  </si>
  <si>
    <r>
      <rPr>
        <b/>
        <sz val="10"/>
        <color indexed="10"/>
        <rFont val="Arial"/>
        <family val="2"/>
        <charset val="238"/>
      </rPr>
      <t>5424</t>
    </r>
    <r>
      <rPr>
        <sz val="10"/>
        <rFont val="Arial"/>
        <family val="2"/>
        <charset val="238"/>
      </rPr>
      <t xml:space="preserve"> - Náhrady mezd v době nemoci</t>
    </r>
  </si>
  <si>
    <t>231 30                        16   3319</t>
  </si>
  <si>
    <r>
      <rPr>
        <b/>
        <sz val="10"/>
        <color indexed="10"/>
        <rFont val="Arial"/>
        <family val="2"/>
        <charset val="238"/>
      </rPr>
      <t>5133</t>
    </r>
    <r>
      <rPr>
        <sz val="10"/>
        <rFont val="Arial"/>
        <family val="2"/>
        <charset val="238"/>
      </rPr>
      <t xml:space="preserve"> - Léky a zdravotnický materiál</t>
    </r>
  </si>
  <si>
    <r>
      <rPr>
        <b/>
        <sz val="10"/>
        <color indexed="10"/>
        <rFont val="Arial"/>
        <family val="2"/>
        <charset val="238"/>
      </rPr>
      <t>5138</t>
    </r>
    <r>
      <rPr>
        <sz val="10"/>
        <rFont val="Arial"/>
        <family val="2"/>
        <charset val="238"/>
      </rPr>
      <t xml:space="preserve"> - Nákup zboží (za účelem dalšího prodeje)</t>
    </r>
  </si>
  <si>
    <r>
      <rPr>
        <b/>
        <sz val="10"/>
        <color indexed="10"/>
        <rFont val="Arial"/>
        <family val="2"/>
        <charset val="238"/>
      </rPr>
      <t>5162</t>
    </r>
    <r>
      <rPr>
        <sz val="10"/>
        <rFont val="Arial"/>
        <family val="2"/>
        <charset val="238"/>
      </rPr>
      <t xml:space="preserve"> - Služby telekomuniakcí a radiokomunikací</t>
    </r>
  </si>
  <si>
    <r>
      <rPr>
        <b/>
        <sz val="10"/>
        <color indexed="10"/>
        <rFont val="Arial"/>
        <family val="2"/>
        <charset val="238"/>
      </rPr>
      <t>5163</t>
    </r>
    <r>
      <rPr>
        <sz val="10"/>
        <rFont val="Arial"/>
        <family val="2"/>
        <charset val="238"/>
      </rPr>
      <t xml:space="preserve"> - Služby peněžních ústavů (včetně komerčního pojištění)</t>
    </r>
  </si>
  <si>
    <r>
      <rPr>
        <b/>
        <sz val="10"/>
        <color indexed="10"/>
        <rFont val="Arial"/>
        <family val="2"/>
        <charset val="238"/>
      </rPr>
      <t>5164</t>
    </r>
    <r>
      <rPr>
        <sz val="10"/>
        <rFont val="Arial"/>
        <family val="2"/>
        <charset val="238"/>
      </rPr>
      <t xml:space="preserve"> - Nájemné</t>
    </r>
  </si>
  <si>
    <r>
      <rPr>
        <b/>
        <sz val="10"/>
        <color indexed="10"/>
        <rFont val="Arial"/>
        <family val="2"/>
        <charset val="238"/>
      </rPr>
      <t>5175</t>
    </r>
    <r>
      <rPr>
        <sz val="10"/>
        <rFont val="Arial"/>
        <family val="2"/>
        <charset val="238"/>
      </rPr>
      <t xml:space="preserve"> - Pohoštění</t>
    </r>
  </si>
  <si>
    <r>
      <rPr>
        <b/>
        <sz val="10"/>
        <color indexed="10"/>
        <rFont val="Arial"/>
        <family val="2"/>
        <charset val="238"/>
      </rPr>
      <t>5177</t>
    </r>
    <r>
      <rPr>
        <sz val="10"/>
        <rFont val="Arial"/>
        <family val="2"/>
        <charset val="238"/>
      </rPr>
      <t xml:space="preserve"> - Nákup uměleckých předmětů</t>
    </r>
  </si>
  <si>
    <r>
      <rPr>
        <b/>
        <sz val="10"/>
        <color indexed="10"/>
        <rFont val="Arial"/>
        <family val="2"/>
        <charset val="238"/>
      </rPr>
      <t>5182</t>
    </r>
    <r>
      <rPr>
        <sz val="10"/>
        <rFont val="Arial"/>
        <family val="2"/>
        <charset val="238"/>
      </rPr>
      <t xml:space="preserve"> - Poskytnuté zálohy vl.pokladně</t>
    </r>
  </si>
  <si>
    <r>
      <rPr>
        <b/>
        <sz val="10"/>
        <color indexed="10"/>
        <rFont val="Arial"/>
        <family val="2"/>
        <charset val="238"/>
      </rPr>
      <t>5194</t>
    </r>
    <r>
      <rPr>
        <sz val="10"/>
        <rFont val="Arial"/>
        <family val="2"/>
        <charset val="238"/>
      </rPr>
      <t xml:space="preserve"> - Věcné dary</t>
    </r>
  </si>
  <si>
    <t>231 30              9999   16   3319</t>
  </si>
  <si>
    <r>
      <rPr>
        <b/>
        <sz val="10"/>
        <color indexed="10"/>
        <rFont val="Arial"/>
        <family val="2"/>
        <charset val="238"/>
      </rPr>
      <t>5153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- Plyn  - </t>
    </r>
    <r>
      <rPr>
        <sz val="10"/>
        <color indexed="12"/>
        <rFont val="Arial"/>
        <family val="2"/>
        <charset val="238"/>
      </rPr>
      <t>zde se plyn nakupuje ještě jako plyn</t>
    </r>
  </si>
  <si>
    <t>231 30              0012   16   3319</t>
  </si>
  <si>
    <t>V. Propagace Nepomuka</t>
  </si>
  <si>
    <t>VI. Pivní slavnosti</t>
  </si>
  <si>
    <t>231 30                        16   3330</t>
  </si>
  <si>
    <r>
      <rPr>
        <b/>
        <sz val="10"/>
        <color indexed="10"/>
        <rFont val="Arial"/>
        <family val="2"/>
        <charset val="238"/>
      </rPr>
      <t>5223</t>
    </r>
    <r>
      <rPr>
        <sz val="10"/>
        <rFont val="Arial"/>
        <family val="2"/>
        <charset val="238"/>
      </rPr>
      <t xml:space="preserve"> - Neinvestiční transfery církvím a náboženským 
          společnostem</t>
    </r>
  </si>
  <si>
    <t>231 30                        39   3412</t>
  </si>
  <si>
    <r>
      <rPr>
        <b/>
        <sz val="10"/>
        <color indexed="10"/>
        <rFont val="Arial"/>
        <family val="2"/>
        <charset val="238"/>
      </rPr>
      <t>5139</t>
    </r>
    <r>
      <rPr>
        <sz val="10"/>
        <rFont val="Arial"/>
        <family val="2"/>
        <charset val="238"/>
      </rPr>
      <t xml:space="preserve"> - Nákup materiálu jinde nezařazený (chlory)</t>
    </r>
  </si>
  <si>
    <t>231 30                        39   3421</t>
  </si>
  <si>
    <r>
      <rPr>
        <b/>
        <sz val="10"/>
        <color indexed="10"/>
        <rFont val="Arial"/>
        <family val="2"/>
        <charset val="238"/>
      </rPr>
      <t>5171</t>
    </r>
    <r>
      <rPr>
        <sz val="10"/>
        <rFont val="Arial"/>
        <family val="2"/>
        <charset val="238"/>
      </rPr>
      <t xml:space="preserve"> - Opravy a udržování (údržba dětského hřiště)</t>
    </r>
  </si>
  <si>
    <t>231 30                        39   3419</t>
  </si>
  <si>
    <t xml:space="preserve">Bytové hospodářství </t>
  </si>
  <si>
    <t>231 30              1000   39   3612</t>
  </si>
  <si>
    <r>
      <rPr>
        <b/>
        <sz val="10"/>
        <color indexed="10"/>
        <rFont val="Arial"/>
        <family val="2"/>
        <charset val="238"/>
      </rPr>
      <t>5152</t>
    </r>
    <r>
      <rPr>
        <sz val="10"/>
        <rFont val="Arial"/>
        <family val="2"/>
        <charset val="238"/>
      </rPr>
      <t xml:space="preserve"> - Teplo</t>
    </r>
  </si>
  <si>
    <r>
      <rPr>
        <b/>
        <sz val="10"/>
        <color indexed="10"/>
        <rFont val="Arial"/>
        <family val="2"/>
        <charset val="238"/>
      </rPr>
      <t>5154</t>
    </r>
    <r>
      <rPr>
        <sz val="10"/>
        <rFont val="Arial"/>
        <family val="2"/>
        <charset val="238"/>
      </rPr>
      <t xml:space="preserve"> - Elektrická energie (společné prostory)</t>
    </r>
  </si>
  <si>
    <r>
      <rPr>
        <b/>
        <sz val="10"/>
        <color indexed="10"/>
        <rFont val="Arial"/>
        <family val="2"/>
        <charset val="238"/>
      </rPr>
      <t>5166</t>
    </r>
    <r>
      <rPr>
        <sz val="10"/>
        <rFont val="Arial"/>
        <family val="2"/>
        <charset val="238"/>
      </rPr>
      <t xml:space="preserve"> - Konzultační služby</t>
    </r>
  </si>
  <si>
    <r>
      <rPr>
        <b/>
        <sz val="10"/>
        <color indexed="10"/>
        <rFont val="Arial"/>
        <family val="2"/>
        <charset val="238"/>
      </rPr>
      <t>5169</t>
    </r>
    <r>
      <rPr>
        <sz val="10"/>
        <rFont val="Arial"/>
        <family val="2"/>
        <charset val="238"/>
      </rPr>
      <t xml:space="preserve"> - Nákup ostatních služeb (revize, kontroly, prohlídky)</t>
    </r>
  </si>
  <si>
    <t xml:space="preserve">Nebytové hospodářství </t>
  </si>
  <si>
    <t>231 30                        39   3613</t>
  </si>
  <si>
    <t>Veřejné osvětlení</t>
  </si>
  <si>
    <t>231 30                        39   3631</t>
  </si>
  <si>
    <r>
      <rPr>
        <b/>
        <sz val="10"/>
        <color indexed="10"/>
        <rFont val="Arial"/>
        <family val="2"/>
        <charset val="238"/>
      </rPr>
      <t>5169</t>
    </r>
    <r>
      <rPr>
        <sz val="10"/>
        <rFont val="Arial"/>
        <family val="2"/>
        <charset val="238"/>
      </rPr>
      <t xml:space="preserve"> - Nákup ostatních služeb  (drobné projekty…) </t>
    </r>
  </si>
  <si>
    <t xml:space="preserve">Pohřebnictví </t>
  </si>
  <si>
    <t>231 30                        39   3632</t>
  </si>
  <si>
    <r>
      <rPr>
        <b/>
        <sz val="10"/>
        <color indexed="10"/>
        <rFont val="Arial"/>
        <family val="2"/>
        <charset val="238"/>
      </rPr>
      <t>5169</t>
    </r>
    <r>
      <rPr>
        <sz val="10"/>
        <rFont val="Arial"/>
        <family val="2"/>
        <charset val="238"/>
      </rPr>
      <t xml:space="preserve"> - Nákup ostatních služeb (dle smlouvy o udržování hřbitova)</t>
    </r>
  </si>
  <si>
    <t>231 30                        02   3722</t>
  </si>
  <si>
    <r>
      <rPr>
        <b/>
        <sz val="10"/>
        <color indexed="10"/>
        <rFont val="Arial"/>
        <family val="2"/>
        <charset val="238"/>
      </rPr>
      <t>5169</t>
    </r>
    <r>
      <rPr>
        <sz val="10"/>
        <rFont val="Arial"/>
        <family val="2"/>
        <charset val="238"/>
      </rPr>
      <t xml:space="preserve"> - Nákup ostatních služeb </t>
    </r>
  </si>
  <si>
    <t>231 30                        39   3745</t>
  </si>
  <si>
    <r>
      <rPr>
        <b/>
        <sz val="10"/>
        <color indexed="10"/>
        <rFont val="Arial"/>
        <family val="2"/>
        <charset val="238"/>
      </rPr>
      <t>5131</t>
    </r>
    <r>
      <rPr>
        <sz val="10"/>
        <rFont val="Arial"/>
        <family val="2"/>
        <charset val="238"/>
      </rPr>
      <t xml:space="preserve"> - Potraviny</t>
    </r>
  </si>
  <si>
    <r>
      <rPr>
        <sz val="10"/>
        <color theme="0"/>
        <rFont val="Arial"/>
        <family val="2"/>
        <charset val="238"/>
      </rPr>
      <t>……………….</t>
    </r>
    <r>
      <rPr>
        <sz val="10"/>
        <rFont val="Arial"/>
        <family val="2"/>
        <charset val="238"/>
      </rPr>
      <t>3937</t>
    </r>
  </si>
  <si>
    <r>
      <rPr>
        <b/>
        <sz val="10"/>
        <color rgb="FFFF0000"/>
        <rFont val="Arial"/>
        <family val="2"/>
        <charset val="238"/>
      </rPr>
      <t>5139</t>
    </r>
    <r>
      <rPr>
        <sz val="10"/>
        <rFont val="Arial"/>
        <family val="2"/>
        <charset val="238"/>
      </rPr>
      <t xml:space="preserve"> - Nákup materiálu jinde nezařazený - </t>
    </r>
    <r>
      <rPr>
        <b/>
        <sz val="10"/>
        <rFont val="Arial"/>
        <family val="2"/>
        <charset val="238"/>
      </rPr>
      <t>ošetřování zeleně</t>
    </r>
  </si>
  <si>
    <r>
      <rPr>
        <b/>
        <sz val="10"/>
        <color rgb="FFFF0000"/>
        <rFont val="Arial"/>
        <family val="2"/>
        <charset val="238"/>
      </rPr>
      <t>5169</t>
    </r>
    <r>
      <rPr>
        <sz val="10"/>
        <rFont val="Arial"/>
        <family val="2"/>
        <charset val="238"/>
      </rPr>
      <t xml:space="preserve"> - Nákup ostatních služeb - </t>
    </r>
    <r>
      <rPr>
        <b/>
        <sz val="10"/>
        <rFont val="Arial"/>
        <family val="2"/>
        <charset val="238"/>
      </rPr>
      <t>ošetřování zeleně</t>
    </r>
  </si>
  <si>
    <t>231 30                        28   4351</t>
  </si>
  <si>
    <r>
      <rPr>
        <b/>
        <sz val="10"/>
        <color indexed="10"/>
        <rFont val="Arial"/>
        <family val="2"/>
        <charset val="238"/>
      </rPr>
      <t>5192</t>
    </r>
    <r>
      <rPr>
        <sz val="10"/>
        <rFont val="Arial"/>
        <family val="2"/>
        <charset val="238"/>
      </rPr>
      <t xml:space="preserve"> - Poskytnuté neinvestiční příspěvky a náhrady</t>
    </r>
  </si>
  <si>
    <r>
      <t xml:space="preserve">231 30     </t>
    </r>
    <r>
      <rPr>
        <sz val="8"/>
        <rFont val="Arial"/>
        <family val="2"/>
        <charset val="238"/>
      </rPr>
      <t>13010</t>
    </r>
    <r>
      <rPr>
        <sz val="10"/>
        <rFont val="Arial"/>
        <family val="2"/>
        <charset val="238"/>
      </rPr>
      <t xml:space="preserve">           28   4339</t>
    </r>
  </si>
  <si>
    <r>
      <rPr>
        <b/>
        <sz val="10"/>
        <color indexed="10"/>
        <rFont val="Arial"/>
        <family val="2"/>
        <charset val="238"/>
      </rPr>
      <t>5031</t>
    </r>
    <r>
      <rPr>
        <sz val="10"/>
        <rFont val="Arial"/>
        <family val="2"/>
        <charset val="238"/>
      </rPr>
      <t xml:space="preserve"> - Povinné pojistné na soc.zabezp.a přís. na st.polit.zam.</t>
    </r>
  </si>
  <si>
    <t>231 30                        19   5212</t>
  </si>
  <si>
    <r>
      <rPr>
        <b/>
        <sz val="10"/>
        <color indexed="10"/>
        <rFont val="Arial"/>
        <family val="2"/>
        <charset val="238"/>
      </rPr>
      <t>5169</t>
    </r>
    <r>
      <rPr>
        <sz val="10"/>
        <rFont val="Arial"/>
        <family val="2"/>
        <charset val="238"/>
      </rPr>
      <t xml:space="preserve"> - Nákup ostatních služeb (Odvodní řízení, aj.)</t>
    </r>
  </si>
  <si>
    <t>231 30              0227   19   5512</t>
  </si>
  <si>
    <t>SDH Dvorec</t>
  </si>
  <si>
    <t>231 30              0228   19   5512</t>
  </si>
  <si>
    <t>Požární ochrana celkem</t>
  </si>
  <si>
    <t>231 30                        19   6112</t>
  </si>
  <si>
    <r>
      <rPr>
        <b/>
        <sz val="10"/>
        <color indexed="10"/>
        <rFont val="Arial"/>
        <family val="2"/>
        <charset val="238"/>
      </rPr>
      <t>5023</t>
    </r>
    <r>
      <rPr>
        <sz val="10"/>
        <rFont val="Arial"/>
        <family val="2"/>
        <charset val="238"/>
      </rPr>
      <t xml:space="preserve"> - Odměny členů zastupitelstva obcí a krajů</t>
    </r>
  </si>
  <si>
    <r>
      <rPr>
        <b/>
        <sz val="10"/>
        <color indexed="10"/>
        <rFont val="Arial"/>
        <family val="2"/>
        <charset val="238"/>
      </rPr>
      <t>5031</t>
    </r>
    <r>
      <rPr>
        <sz val="10"/>
        <rFont val="Arial"/>
        <family val="2"/>
        <charset val="238"/>
      </rPr>
      <t xml:space="preserve"> - </t>
    </r>
    <r>
      <rPr>
        <sz val="9"/>
        <rFont val="Arial"/>
        <family val="2"/>
        <charset val="238"/>
      </rPr>
      <t>Povinné pojistné na sociální zabezp.a přísp.na st.pol.zam.</t>
    </r>
  </si>
  <si>
    <r>
      <rPr>
        <b/>
        <sz val="10"/>
        <color indexed="10"/>
        <rFont val="Arial"/>
        <family val="2"/>
        <charset val="238"/>
      </rPr>
      <t>5032</t>
    </r>
    <r>
      <rPr>
        <sz val="10"/>
        <rFont val="Arial"/>
        <family val="2"/>
        <charset val="238"/>
      </rPr>
      <t xml:space="preserve"> - </t>
    </r>
    <r>
      <rPr>
        <sz val="9"/>
        <rFont val="Arial"/>
        <family val="2"/>
        <charset val="238"/>
      </rPr>
      <t>Povinné pojistné na veřejné zdravotní pojištění</t>
    </r>
  </si>
  <si>
    <r>
      <rPr>
        <b/>
        <sz val="10"/>
        <color indexed="10"/>
        <rFont val="Arial"/>
        <family val="2"/>
        <charset val="238"/>
      </rPr>
      <t>5019</t>
    </r>
    <r>
      <rPr>
        <sz val="10"/>
        <rFont val="Arial"/>
        <family val="2"/>
        <charset val="238"/>
      </rPr>
      <t xml:space="preserve"> - Ostatní platy </t>
    </r>
  </si>
  <si>
    <t xml:space="preserve">Činnost místní správy </t>
  </si>
  <si>
    <t>231 30                        19   6171</t>
  </si>
  <si>
    <r>
      <rPr>
        <b/>
        <sz val="10"/>
        <color indexed="10"/>
        <rFont val="Arial"/>
        <family val="2"/>
        <charset val="238"/>
      </rPr>
      <t>5134</t>
    </r>
    <r>
      <rPr>
        <sz val="10"/>
        <rFont val="Arial"/>
        <family val="2"/>
        <charset val="238"/>
      </rPr>
      <t xml:space="preserve"> - Prádlo, oděv, obuv (uklízečky)</t>
    </r>
  </si>
  <si>
    <r>
      <rPr>
        <b/>
        <sz val="10"/>
        <color indexed="10"/>
        <rFont val="Arial"/>
        <family val="2"/>
        <charset val="238"/>
      </rPr>
      <t>5164</t>
    </r>
    <r>
      <rPr>
        <sz val="10"/>
        <rFont val="Arial"/>
        <family val="2"/>
        <charset val="238"/>
      </rPr>
      <t xml:space="preserve"> - Nájemné (schránka na poště, úřední deska na obchoďáku,…)</t>
    </r>
  </si>
  <si>
    <r>
      <rPr>
        <b/>
        <sz val="10"/>
        <color indexed="10"/>
        <rFont val="Arial"/>
        <family val="2"/>
        <charset val="238"/>
      </rPr>
      <t>5173</t>
    </r>
    <r>
      <rPr>
        <sz val="10"/>
        <rFont val="Arial"/>
        <family val="2"/>
        <charset val="238"/>
      </rPr>
      <t xml:space="preserve"> - Cestovné</t>
    </r>
  </si>
  <si>
    <r>
      <rPr>
        <b/>
        <sz val="10"/>
        <color indexed="10"/>
        <rFont val="Arial"/>
        <family val="2"/>
        <charset val="238"/>
      </rPr>
      <t>5179</t>
    </r>
    <r>
      <rPr>
        <sz val="10"/>
        <rFont val="Arial"/>
        <family val="2"/>
        <charset val="238"/>
      </rPr>
      <t xml:space="preserve"> - Ostatní nákupy jinde nezařazené</t>
    </r>
  </si>
  <si>
    <r>
      <rPr>
        <b/>
        <sz val="10"/>
        <color indexed="10"/>
        <rFont val="Arial"/>
        <family val="2"/>
        <charset val="238"/>
      </rPr>
      <t>5182</t>
    </r>
    <r>
      <rPr>
        <sz val="10"/>
        <rFont val="Arial"/>
        <family val="2"/>
        <charset val="238"/>
      </rPr>
      <t xml:space="preserve"> - Poskytnuté zálohy vlastní pokladně</t>
    </r>
  </si>
  <si>
    <r>
      <rPr>
        <b/>
        <sz val="10"/>
        <color indexed="10"/>
        <rFont val="Arial"/>
        <family val="2"/>
        <charset val="238"/>
      </rPr>
      <t>5365</t>
    </r>
    <r>
      <rPr>
        <sz val="10"/>
        <rFont val="Arial"/>
        <family val="2"/>
        <charset val="238"/>
      </rPr>
      <t xml:space="preserve"> - Platby daní a poplatků krajům, obcím a státním fondům</t>
    </r>
  </si>
  <si>
    <r>
      <rPr>
        <b/>
        <sz val="10"/>
        <color indexed="10"/>
        <rFont val="Arial"/>
        <family val="2"/>
        <charset val="238"/>
      </rPr>
      <t>5909</t>
    </r>
    <r>
      <rPr>
        <sz val="10"/>
        <rFont val="Arial"/>
        <family val="2"/>
        <charset val="238"/>
      </rPr>
      <t xml:space="preserve"> - Ostaní neinvestiční výdaje jinde nezařazené</t>
    </r>
  </si>
  <si>
    <t>231 30                        19   6310</t>
  </si>
  <si>
    <t>231 30                        19   6399</t>
  </si>
  <si>
    <t>231 10                        19   6330</t>
  </si>
  <si>
    <r>
      <rPr>
        <b/>
        <sz val="10"/>
        <color indexed="10"/>
        <rFont val="Arial"/>
        <family val="2"/>
        <charset val="238"/>
      </rPr>
      <t>5342</t>
    </r>
    <r>
      <rPr>
        <sz val="10"/>
        <rFont val="Arial"/>
        <family val="2"/>
        <charset val="238"/>
      </rPr>
      <t xml:space="preserve"> - Převody FKSP a SF obcí a krajů</t>
    </r>
  </si>
  <si>
    <r>
      <rPr>
        <b/>
        <sz val="10"/>
        <color indexed="10"/>
        <rFont val="Arial"/>
        <family val="2"/>
        <charset val="238"/>
      </rPr>
      <t>5345</t>
    </r>
    <r>
      <rPr>
        <sz val="10"/>
        <rFont val="Arial"/>
        <family val="2"/>
        <charset val="238"/>
      </rPr>
      <t xml:space="preserve"> - Převody vlastním rozpočtovým účtům</t>
    </r>
  </si>
  <si>
    <t>231 30                        19   6409</t>
  </si>
  <si>
    <r>
      <rPr>
        <b/>
        <sz val="10"/>
        <color indexed="10"/>
        <rFont val="Arial"/>
        <family val="2"/>
        <charset val="238"/>
      </rPr>
      <t>5329</t>
    </r>
    <r>
      <rPr>
        <sz val="10"/>
        <rFont val="Arial"/>
        <family val="2"/>
        <charset val="238"/>
      </rPr>
      <t xml:space="preserve"> - </t>
    </r>
    <r>
      <rPr>
        <sz val="9"/>
        <rFont val="Arial"/>
        <family val="2"/>
        <charset val="238"/>
      </rPr>
      <t>Ostatní neinvestiční transfery veřejným rozpočtům územní 
             úrovně</t>
    </r>
  </si>
  <si>
    <t xml:space="preserve">Vytváření rezerv </t>
  </si>
  <si>
    <t>231 30                        09   1099</t>
  </si>
  <si>
    <t>231 30                        02   2399</t>
  </si>
  <si>
    <r>
      <rPr>
        <b/>
        <sz val="10"/>
        <color indexed="10"/>
        <rFont val="Arial"/>
        <family val="2"/>
        <charset val="238"/>
      </rPr>
      <t>5901</t>
    </r>
    <r>
      <rPr>
        <sz val="10"/>
        <rFont val="Arial"/>
        <family val="2"/>
        <charset val="238"/>
      </rPr>
      <t xml:space="preserve"> - Nespecifikované rezervy (rezerva na likvidaci katastrof)</t>
    </r>
  </si>
  <si>
    <r>
      <rPr>
        <b/>
        <sz val="10"/>
        <color indexed="10"/>
        <rFont val="Arial"/>
        <family val="2"/>
        <charset val="238"/>
      </rPr>
      <t>5901</t>
    </r>
    <r>
      <rPr>
        <sz val="10"/>
        <rFont val="Arial"/>
        <family val="2"/>
        <charset val="238"/>
      </rPr>
      <t xml:space="preserve"> - Nespecifikované rezervy (rezerva na krizové stavy)</t>
    </r>
  </si>
  <si>
    <t>231 30                        19   6402</t>
  </si>
  <si>
    <r>
      <rPr>
        <b/>
        <sz val="10"/>
        <color indexed="10"/>
        <rFont val="Arial"/>
        <family val="2"/>
        <charset val="238"/>
      </rPr>
      <t>5321</t>
    </r>
    <r>
      <rPr>
        <sz val="10"/>
        <rFont val="Arial"/>
        <family val="2"/>
        <charset val="238"/>
      </rPr>
      <t xml:space="preserve"> - Neinvestiční transfery obcím</t>
    </r>
  </si>
  <si>
    <t>vybavení tříd - lavice apod.</t>
  </si>
  <si>
    <t>PC pomůcky, IT servis</t>
  </si>
  <si>
    <t>závodní stravování</t>
  </si>
  <si>
    <r>
      <rPr>
        <b/>
        <sz val="10"/>
        <color indexed="10"/>
        <rFont val="Arial"/>
        <family val="2"/>
        <charset val="238"/>
      </rPr>
      <t>5168</t>
    </r>
    <r>
      <rPr>
        <sz val="10"/>
        <rFont val="Arial"/>
        <family val="2"/>
        <charset val="238"/>
      </rPr>
      <t xml:space="preserve"> - Zpracování dat a služby související s informačními
          a komunikačními technologiemi</t>
    </r>
  </si>
  <si>
    <t xml:space="preserve">Ostatní činnosti související se službami pro obyvatelstvo (projekt Systémová podpora rozvoje meziobecní spolupráce) </t>
  </si>
  <si>
    <r>
      <t xml:space="preserve">231 30     </t>
    </r>
    <r>
      <rPr>
        <sz val="8"/>
        <rFont val="Arial"/>
        <family val="2"/>
        <charset val="238"/>
      </rPr>
      <t xml:space="preserve">1811 </t>
    </r>
    <r>
      <rPr>
        <sz val="10"/>
        <rFont val="Arial"/>
        <family val="2"/>
        <charset val="238"/>
      </rPr>
      <t xml:space="preserve">           19   3900</t>
    </r>
  </si>
  <si>
    <t>231 30              0021   16   3319</t>
  </si>
  <si>
    <t>231 30              0022   16   3319</t>
  </si>
  <si>
    <t>231 30             5959   19   5212</t>
  </si>
  <si>
    <r>
      <rPr>
        <b/>
        <sz val="10"/>
        <color indexed="10"/>
        <rFont val="Arial"/>
        <family val="2"/>
        <charset val="238"/>
      </rPr>
      <t>5139</t>
    </r>
    <r>
      <rPr>
        <sz val="10"/>
        <rFont val="Arial"/>
        <family val="2"/>
        <charset val="238"/>
      </rPr>
      <t xml:space="preserve"> - Nákup materiálu jinde nezařazený </t>
    </r>
  </si>
  <si>
    <r>
      <rPr>
        <b/>
        <sz val="10"/>
        <color indexed="10"/>
        <rFont val="Arial"/>
        <family val="2"/>
        <charset val="238"/>
      </rPr>
      <t>5229</t>
    </r>
    <r>
      <rPr>
        <sz val="10"/>
        <rFont val="Arial"/>
        <family val="2"/>
        <charset val="238"/>
      </rPr>
      <t xml:space="preserve"> - Ostatní neinvestiční transfery neziskovým a   podobným organizacím  </t>
    </r>
    <r>
      <rPr>
        <b/>
        <sz val="10"/>
        <rFont val="Arial"/>
        <family val="2"/>
        <charset val="238"/>
      </rPr>
      <t>(NE nepomucké spolky)</t>
    </r>
  </si>
  <si>
    <t>v tis. Kč</t>
  </si>
  <si>
    <r>
      <rPr>
        <b/>
        <sz val="10"/>
        <color indexed="10"/>
        <rFont val="Arial"/>
        <family val="2"/>
        <charset val="238"/>
      </rPr>
      <t>5034</t>
    </r>
    <r>
      <rPr>
        <sz val="10"/>
        <rFont val="Arial"/>
        <family val="2"/>
        <charset val="238"/>
      </rPr>
      <t xml:space="preserve"> - Prádlo, oděv a obuv</t>
    </r>
  </si>
  <si>
    <r>
      <rPr>
        <b/>
        <sz val="10"/>
        <color indexed="10"/>
        <rFont val="Arial"/>
        <family val="2"/>
        <charset val="238"/>
      </rPr>
      <t>5134</t>
    </r>
    <r>
      <rPr>
        <sz val="10"/>
        <rFont val="Arial"/>
        <family val="2"/>
        <charset val="238"/>
      </rPr>
      <t xml:space="preserve"> - Prádlo, oděv a obuv</t>
    </r>
  </si>
  <si>
    <r>
      <rPr>
        <b/>
        <sz val="10"/>
        <color indexed="10"/>
        <rFont val="Arial"/>
        <family val="2"/>
        <charset val="238"/>
      </rPr>
      <t xml:space="preserve">5169 </t>
    </r>
    <r>
      <rPr>
        <sz val="10"/>
        <rFont val="Arial"/>
        <family val="2"/>
        <charset val="238"/>
      </rPr>
      <t>- Nákup ostatních služeb</t>
    </r>
  </si>
  <si>
    <r>
      <rPr>
        <b/>
        <sz val="10"/>
        <color indexed="10"/>
        <rFont val="Arial"/>
        <family val="2"/>
        <charset val="238"/>
      </rPr>
      <t>5362</t>
    </r>
    <r>
      <rPr>
        <sz val="10"/>
        <rFont val="Arial"/>
        <family val="2"/>
        <charset val="238"/>
      </rPr>
      <t xml:space="preserve"> - Platby daní a poplatků</t>
    </r>
  </si>
  <si>
    <r>
      <rPr>
        <b/>
        <sz val="10"/>
        <color indexed="10"/>
        <rFont val="Arial"/>
        <family val="2"/>
        <charset val="238"/>
      </rPr>
      <t>5031</t>
    </r>
    <r>
      <rPr>
        <sz val="10"/>
        <rFont val="Arial"/>
        <family val="2"/>
        <charset val="238"/>
      </rPr>
      <t xml:space="preserve"> - Povinné pojistné na soc.zab.a přís. na st.polit.zam.</t>
    </r>
  </si>
  <si>
    <r>
      <rPr>
        <b/>
        <sz val="10"/>
        <color indexed="10"/>
        <rFont val="Arial"/>
        <family val="2"/>
        <charset val="238"/>
      </rPr>
      <t>5361</t>
    </r>
    <r>
      <rPr>
        <sz val="10"/>
        <rFont val="Arial"/>
        <family val="2"/>
        <charset val="238"/>
      </rPr>
      <t xml:space="preserve"> - Nákup kolků</t>
    </r>
  </si>
  <si>
    <r>
      <t xml:space="preserve">Ost.činnosti související se službami pro obyvatelstvo - přijaté
nekapitálové příspěvky, náhrady </t>
    </r>
    <r>
      <rPr>
        <b/>
        <sz val="8"/>
        <color rgb="FFFF0000"/>
        <rFont val="Arial"/>
        <family val="2"/>
        <charset val="238"/>
      </rPr>
      <t>(projekt SMO)</t>
    </r>
  </si>
  <si>
    <t>z toho                             poplatek za provozovaný výherní hrací přístroj</t>
  </si>
  <si>
    <t>z toho            odvody za odnětí půdy ze zemědělského půdního fondu</t>
  </si>
  <si>
    <t xml:space="preserve">    z toho                                       příjmy z poskytnutých služeb a výrobků</t>
  </si>
  <si>
    <t>z toho        Ozdravov.hosp.zv.a veterin.péče-příjmy z poskyt.služ. a výr.</t>
  </si>
  <si>
    <r>
      <rPr>
        <b/>
        <sz val="10"/>
        <color indexed="10"/>
        <rFont val="Arial"/>
        <family val="2"/>
        <charset val="238"/>
      </rPr>
      <t>5229</t>
    </r>
    <r>
      <rPr>
        <sz val="10"/>
        <rFont val="Arial"/>
        <family val="2"/>
        <charset val="238"/>
      </rPr>
      <t xml:space="preserve"> - Ost.neinvestiční transfery neziskovým a podobným org.</t>
    </r>
  </si>
  <si>
    <t>Příjmy z prodeje zboží</t>
  </si>
  <si>
    <t>Bezpečnost a veřejný pořádek</t>
  </si>
  <si>
    <t>5311 - Bezpečnost a veřejný pořádek</t>
  </si>
  <si>
    <t>1036 - Správa v lesním hospodářství</t>
  </si>
  <si>
    <t>2212 - Silnice</t>
  </si>
  <si>
    <t>3111 - Předškolní zařízení</t>
  </si>
  <si>
    <t>3113 - Základní školy</t>
  </si>
  <si>
    <t>3231 - Základní umělecké školy</t>
  </si>
  <si>
    <t>3319 - Ostatní záležitosti kultury</t>
  </si>
  <si>
    <t>3412 - Sportovní zařízení v majetku obce</t>
  </si>
  <si>
    <t>3421 - Využití volného času mládeže</t>
  </si>
  <si>
    <t>3722 - Sběr a svoz komunálních odpadů</t>
  </si>
  <si>
    <t xml:space="preserve">2310 - Pitná voda </t>
  </si>
  <si>
    <t>5512 - Požární ochrana - dobrovolná část</t>
  </si>
  <si>
    <t>6112 - Zastupitelstva obcí</t>
  </si>
  <si>
    <t>6171 - Činnost místní správy</t>
  </si>
  <si>
    <t>6402 - Finanční vypořádání minulých let</t>
  </si>
  <si>
    <t>zpět</t>
  </si>
  <si>
    <t xml:space="preserve">1031 - Pěstební činnost ( lesní hospodářství ) </t>
  </si>
  <si>
    <t>Pěstební činnost ( lesní hospodářství )</t>
  </si>
  <si>
    <t>Správa v lesním hospodářství</t>
  </si>
  <si>
    <t>Silnice</t>
  </si>
  <si>
    <t>Pitná voda</t>
  </si>
  <si>
    <t xml:space="preserve">Odvádění a čištění odpadních vod a nakládání s kaly </t>
  </si>
  <si>
    <t>Předškolní zařízení</t>
  </si>
  <si>
    <t>Základní školy</t>
  </si>
  <si>
    <t xml:space="preserve">Základní umělecké školy </t>
  </si>
  <si>
    <t xml:space="preserve">Ostatní záležitosti kultury </t>
  </si>
  <si>
    <t xml:space="preserve">Činnosti registrovaných církví a náboženských společností </t>
  </si>
  <si>
    <t>Sportovní zařízení v majetku obce</t>
  </si>
  <si>
    <t>Využití volného času mládeže</t>
  </si>
  <si>
    <t>Sběr a svoz komunálních odpadů</t>
  </si>
  <si>
    <t>Péče o vzhled obcí a veřejnou zeleň</t>
  </si>
  <si>
    <t>Ostatní sociální péče a pomoc rodině a manželství (pěstounská péče)</t>
  </si>
  <si>
    <t>Osobní asistence, pečovatelská služba a podpora samostatného bydlení</t>
  </si>
  <si>
    <t>5212 - Ochrana obyvatelstva</t>
  </si>
  <si>
    <t>Ochrana obyvatelstva</t>
  </si>
  <si>
    <t>Požární ochrana - dobrovolná část</t>
  </si>
  <si>
    <t xml:space="preserve">Zastupitelstva města </t>
  </si>
  <si>
    <t>6115 - Volby do zastupitelstev územních 
            samosprávných celků</t>
  </si>
  <si>
    <t>6117 - Volby do Evropského parlamentu</t>
  </si>
  <si>
    <t xml:space="preserve">Obecné příjmy a výdaje z finančních operací </t>
  </si>
  <si>
    <t>Převody vlastním fondům v rozpočtech územní úrovně (sociální fond)</t>
  </si>
  <si>
    <t>6399 - Ostatní finanční operace</t>
  </si>
  <si>
    <t>Ostatní finanční operace (Platby daní a poplatků)</t>
  </si>
  <si>
    <t>Ostatní činnosti jinde nazařazené 
( příspěvek do mikroregionu )</t>
  </si>
  <si>
    <r>
      <rPr>
        <b/>
        <sz val="10"/>
        <color indexed="10"/>
        <rFont val="Arial"/>
        <family val="2"/>
        <charset val="238"/>
      </rPr>
      <t>5901</t>
    </r>
    <r>
      <rPr>
        <sz val="10"/>
        <rFont val="Arial"/>
        <family val="2"/>
        <charset val="238"/>
      </rPr>
      <t xml:space="preserve"> - Nespecifikované rezervy (lesní, rybářská a myslivecká stráž)</t>
    </r>
  </si>
  <si>
    <t>před 11. rozp.
opatřením</t>
  </si>
  <si>
    <t>11. rozpočtové
Opatření</t>
  </si>
  <si>
    <t>Rozpočet 
po změně</t>
  </si>
  <si>
    <t>Rekonstrukce Plzeňské ulice -2.etapa</t>
  </si>
  <si>
    <t>Vrt HV 05, 06</t>
  </si>
  <si>
    <t xml:space="preserve">Obytná zóna na Daníčkách </t>
  </si>
  <si>
    <t>Přístavba ZUŠ u ZŠ</t>
  </si>
  <si>
    <t>Vrt HV3 - napojení na síť</t>
  </si>
  <si>
    <t xml:space="preserve">Dětská hřiště </t>
  </si>
  <si>
    <t>Prodloužení kanalizace u p. Viktory</t>
  </si>
  <si>
    <t>Prodloužení kanalizace ve Dvorci, 
Ke Dvorům u pí Silovské</t>
  </si>
  <si>
    <t>Cyklostezka</t>
  </si>
  <si>
    <t>Rekonstrukce kotelny ve sportovní hale</t>
  </si>
  <si>
    <t>Rekonstrukce budovy rehabilitace</t>
  </si>
  <si>
    <t>Rekonstrukce rozvodů na vodárně</t>
  </si>
  <si>
    <t>opěrná zeď - Kubík</t>
  </si>
  <si>
    <t>Opěrné zdi - Jirky Kubíka 367, 368</t>
  </si>
  <si>
    <t>Bezbarierové chodníky - 2.etapa</t>
  </si>
  <si>
    <t>Veřejné osvětlení - propojení Swalmenská / Třebčická</t>
  </si>
  <si>
    <t>Veřejné osvětlení - Nové Město, Přesanická</t>
  </si>
  <si>
    <t>Stavba garáže pro zásahový automobil SDH</t>
  </si>
  <si>
    <t>Terasa - Nám. A. Němejce 64</t>
  </si>
  <si>
    <t>Výměna střešních oken - bytové domy U Sokolovny</t>
  </si>
  <si>
    <t>Fortianalyzer (správa logu z firewallu)</t>
  </si>
  <si>
    <t>příspěvky na dětský den a jiné akce</t>
  </si>
  <si>
    <t>Ostatní tělovýchovná činnost (městské granty)</t>
  </si>
  <si>
    <t>Příjmy</t>
  </si>
  <si>
    <t>Výdaje</t>
  </si>
  <si>
    <r>
      <rPr>
        <b/>
        <sz val="10"/>
        <color indexed="10"/>
        <rFont val="Arial"/>
        <family val="2"/>
        <charset val="238"/>
      </rPr>
      <t>5499</t>
    </r>
    <r>
      <rPr>
        <sz val="10"/>
        <rFont val="Arial"/>
        <family val="2"/>
        <charset val="238"/>
      </rPr>
      <t xml:space="preserve"> - Ostaní neinvestiční transfery obyvatelstvu - stravenky</t>
    </r>
  </si>
  <si>
    <t>Nové kulturní akce</t>
  </si>
  <si>
    <t>231 30                        ??   3326</t>
  </si>
  <si>
    <t>Pořízení, zachování a obnova hodnot místního kulturního, národního a historického povědomí</t>
  </si>
  <si>
    <t>Rodný dům A.Němejce</t>
  </si>
  <si>
    <t>Partnerská města</t>
  </si>
  <si>
    <t>Propagace Nepomuka</t>
  </si>
  <si>
    <t>Pivní slavnosti</t>
  </si>
  <si>
    <t>z toho                                     Kultura</t>
  </si>
  <si>
    <t>z toho                           SDH Nepomuk</t>
  </si>
  <si>
    <t xml:space="preserve">                  SDH Dvorec</t>
  </si>
  <si>
    <t xml:space="preserve"> na lesní, rybářskou a mysliveckou stráž</t>
  </si>
  <si>
    <t xml:space="preserve">                                 rezerva na likvidaci katastrof</t>
  </si>
  <si>
    <t xml:space="preserve">                                        rezerva na krizové stravy</t>
  </si>
  <si>
    <t>Strategické plánování a příprava projektů</t>
  </si>
  <si>
    <t xml:space="preserve">Okna - bytové domy Na Vinici </t>
  </si>
  <si>
    <t xml:space="preserve">Oplocení pozemku IZS  </t>
  </si>
  <si>
    <t xml:space="preserve">Oplocení vrtů </t>
  </si>
  <si>
    <t>Prodloužení plynovodu - Třebčická ulice</t>
  </si>
  <si>
    <t xml:space="preserve">Zrušení ČOV a zřízení čerpací stanice v Nábřežní 
ulici včetně zřízení výtlaku do stávající kanalizace v Přesanické ulici </t>
  </si>
  <si>
    <t xml:space="preserve">Propojení vodovodu a prodloužení kanalizace
v Přesanické ulici </t>
  </si>
  <si>
    <t xml:space="preserve">Propojení vodovodu v Zelenohorské ulici </t>
  </si>
  <si>
    <t>Daň z nabytí nemovitých věcí</t>
  </si>
  <si>
    <t>Daňové příjmy a poplatky</t>
  </si>
  <si>
    <t>Zpracoval: Ing. Jaroslav Somolík</t>
  </si>
  <si>
    <t>Ing. Jiří Švec</t>
  </si>
  <si>
    <t>starosta města Nepomuk</t>
  </si>
  <si>
    <t xml:space="preserve">         Ing. Jiří Švec</t>
  </si>
  <si>
    <t>Deficit rozpočtu je kryt naspořenými finančními prostředky z loňských let.</t>
  </si>
  <si>
    <t>starosta Města Nepomuk</t>
  </si>
  <si>
    <t>4351 - Osobní asistence, pečovatelská služba a podpora samostatného bydlení</t>
  </si>
  <si>
    <t>4339 - Ostatní sociální péče a pomoc rodině a manželství (pěstounská péče)</t>
  </si>
  <si>
    <t>3326 - Pořízení, zachování a obnova hodnot místního kulturního, národního a 
          historického povědomí (památkový grant)</t>
  </si>
  <si>
    <t>1014 - Ozdravování hospodářských zvířat, polních a speciálních plodin a zvláštní  
            veterinární péče</t>
  </si>
  <si>
    <t>2321 - Odvádění a čištění odpadních vod a nakládání s kaly</t>
  </si>
  <si>
    <t xml:space="preserve">3330 - Činnosti registrovaných církví a náboženských společností </t>
  </si>
  <si>
    <t>3419 - Ostatní tělovýchovná činnost ( městské granty )</t>
  </si>
  <si>
    <t>3745 - Péče o vzhled obcí a veřejnou zeleň ( místní hospodářství)</t>
  </si>
  <si>
    <t>6310 - Obecné příjmy a výdaje z finančních operací (služby peněžních ústavů)</t>
  </si>
  <si>
    <t xml:space="preserve">6330 - Převody vlastním fondům v rozpočtech územní úrovně </t>
  </si>
  <si>
    <t>6409 - Ostatní činnosti jinde nazařazené ( příspěvek do mikroregionu )</t>
  </si>
  <si>
    <t>příjmy
rok 2015</t>
  </si>
  <si>
    <t>příjmy
leden 2015</t>
  </si>
  <si>
    <t>příjmy
únor 2015</t>
  </si>
  <si>
    <t>příjmy
březen 2015</t>
  </si>
  <si>
    <t>příjmy
duben 2015</t>
  </si>
  <si>
    <t>příjmy
květen 2015</t>
  </si>
  <si>
    <t>příjmy
červen 2015</t>
  </si>
  <si>
    <t>příjmy
červenec 2015</t>
  </si>
  <si>
    <t>příjmy
srpen 2015</t>
  </si>
  <si>
    <t>příjmy
září 2015</t>
  </si>
  <si>
    <t>příjmy
říjen 2015</t>
  </si>
  <si>
    <t>příjmy
listopad 2015</t>
  </si>
  <si>
    <t>příjmy
prosinec 2015</t>
  </si>
  <si>
    <t>Rozpočet 
 na rok 2015</t>
  </si>
  <si>
    <t xml:space="preserve">
 Rozpočet na rok 2015</t>
  </si>
  <si>
    <t>Plán investic Města Nepomuk na rok 2015</t>
  </si>
  <si>
    <t>Mihovka - lávka, zábradlí</t>
  </si>
  <si>
    <t>Rozpočet na rok 2015</t>
  </si>
  <si>
    <t>231 30              0023   16   3319</t>
  </si>
  <si>
    <t>6330</t>
  </si>
  <si>
    <t>Daňové příjmy + nedaňové příjmy + dotace</t>
  </si>
  <si>
    <t xml:space="preserve">Upravený rozpočet </t>
  </si>
  <si>
    <t>vše v  Kč</t>
  </si>
  <si>
    <t>rozdíl oproti výkazu</t>
  </si>
  <si>
    <t>Plnění 
 rozpočtu v roce 2015</t>
  </si>
  <si>
    <t>Návrh rozpočtu na rok 2015</t>
  </si>
  <si>
    <t>231 30             5959   19   5311</t>
  </si>
  <si>
    <t>výdaje
 01-03/2014</t>
  </si>
  <si>
    <t>upravený rozpočet
2015</t>
  </si>
  <si>
    <t>% plnění
k rozpočtu na rok 2014</t>
  </si>
  <si>
    <t xml:space="preserve">% plnění
k upravenému
rozpočtu </t>
  </si>
  <si>
    <t>Výdaje 
za rok 2015</t>
  </si>
  <si>
    <t>Výdaje 
duben 2015</t>
  </si>
  <si>
    <t>Výdaje 
červen 2015</t>
  </si>
  <si>
    <t>Výdaje 
červenec 2015</t>
  </si>
  <si>
    <t>Výdaje 
srpen 2015</t>
  </si>
  <si>
    <t>Výdaje 
září 2015</t>
  </si>
  <si>
    <t>Výdaje 
říjen 2015</t>
  </si>
  <si>
    <t>Výdaje 
listopad 2015</t>
  </si>
  <si>
    <t>Výdaje 
prosinec 2015</t>
  </si>
  <si>
    <t>Výdaje 
květen 2016</t>
  </si>
  <si>
    <r>
      <rPr>
        <b/>
        <sz val="10"/>
        <color indexed="10"/>
        <rFont val="Arial"/>
        <family val="2"/>
        <charset val="238"/>
      </rPr>
      <t>5132</t>
    </r>
    <r>
      <rPr>
        <sz val="10"/>
        <rFont val="Arial"/>
        <family val="2"/>
        <charset val="238"/>
      </rPr>
      <t xml:space="preserve"> - Ochranné pomůcky</t>
    </r>
  </si>
  <si>
    <r>
      <rPr>
        <b/>
        <sz val="10"/>
        <color indexed="10"/>
        <rFont val="Arial"/>
        <family val="2"/>
        <charset val="238"/>
      </rPr>
      <t>6121</t>
    </r>
    <r>
      <rPr>
        <sz val="10"/>
        <rFont val="Arial"/>
        <family val="2"/>
        <charset val="238"/>
      </rPr>
      <t xml:space="preserve"> - investice</t>
    </r>
  </si>
  <si>
    <r>
      <t xml:space="preserve">5169 - </t>
    </r>
    <r>
      <rPr>
        <sz val="10"/>
        <rFont val="Arial"/>
        <family val="2"/>
        <charset val="238"/>
      </rPr>
      <t xml:space="preserve">Nákup ostatních služeb </t>
    </r>
  </si>
  <si>
    <r>
      <rPr>
        <b/>
        <sz val="10"/>
        <color indexed="10"/>
        <rFont val="Arial"/>
        <family val="2"/>
        <charset val="238"/>
      </rPr>
      <t>5171</t>
    </r>
    <r>
      <rPr>
        <sz val="10"/>
        <rFont val="Arial"/>
        <family val="2"/>
        <charset val="238"/>
      </rPr>
      <t xml:space="preserve"> - Opravy a udržování </t>
    </r>
  </si>
  <si>
    <t>Podpora individuální bytové výstavby</t>
  </si>
  <si>
    <t>231 30                        39   3611</t>
  </si>
  <si>
    <t>3611 - Podpora individuální bytové výstavby</t>
  </si>
  <si>
    <t>Územní plánování</t>
  </si>
  <si>
    <t>231 30                        39   3639</t>
  </si>
  <si>
    <r>
      <rPr>
        <b/>
        <sz val="10"/>
        <color indexed="10"/>
        <rFont val="Arial"/>
        <family val="2"/>
        <charset val="238"/>
      </rPr>
      <t>5166</t>
    </r>
    <r>
      <rPr>
        <sz val="10"/>
        <rFont val="Arial"/>
        <family val="2"/>
        <charset val="238"/>
      </rPr>
      <t xml:space="preserve"> - Konzultační, poradenské a právní služby</t>
    </r>
  </si>
  <si>
    <t>231 30                        39   3635</t>
  </si>
  <si>
    <r>
      <rPr>
        <b/>
        <sz val="10"/>
        <color indexed="10"/>
        <rFont val="Arial"/>
        <family val="2"/>
        <charset val="238"/>
      </rPr>
      <t>6119</t>
    </r>
    <r>
      <rPr>
        <sz val="10"/>
        <rFont val="Arial"/>
        <family val="2"/>
        <charset val="238"/>
      </rPr>
      <t xml:space="preserve"> - investice</t>
    </r>
  </si>
  <si>
    <r>
      <rPr>
        <b/>
        <sz val="10"/>
        <color indexed="10"/>
        <rFont val="Arial"/>
        <family val="2"/>
        <charset val="238"/>
      </rPr>
      <t>6122</t>
    </r>
    <r>
      <rPr>
        <sz val="10"/>
        <rFont val="Arial"/>
        <family val="2"/>
        <charset val="238"/>
      </rPr>
      <t xml:space="preserve"> - investice</t>
    </r>
  </si>
  <si>
    <t>Komunální služby a územní rozvoj jinde nezařazené</t>
  </si>
  <si>
    <t>3639 - Komunální služby a územní rozvoj jinde nezařazené</t>
  </si>
  <si>
    <t>3635 - Územní plánování</t>
  </si>
  <si>
    <t>Upravený rozpočet 2015</t>
  </si>
  <si>
    <r>
      <rPr>
        <b/>
        <sz val="10"/>
        <color rgb="FFFF0000"/>
        <rFont val="Arial"/>
        <family val="2"/>
        <charset val="238"/>
      </rPr>
      <t>5167</t>
    </r>
    <r>
      <rPr>
        <sz val="10"/>
        <rFont val="Arial"/>
        <family val="2"/>
        <charset val="238"/>
      </rPr>
      <t xml:space="preserve"> - Služby školení a vzdělávání</t>
    </r>
  </si>
  <si>
    <r>
      <rPr>
        <b/>
        <sz val="10"/>
        <color indexed="10"/>
        <rFont val="Arial"/>
        <family val="2"/>
        <charset val="238"/>
      </rPr>
      <t xml:space="preserve">5162 </t>
    </r>
    <r>
      <rPr>
        <sz val="10"/>
        <rFont val="Arial"/>
        <family val="2"/>
        <charset val="238"/>
      </rPr>
      <t xml:space="preserve">- Služby telekomunikací a radiokomunikací </t>
    </r>
  </si>
  <si>
    <r>
      <rPr>
        <b/>
        <sz val="10"/>
        <color indexed="10"/>
        <rFont val="Arial"/>
        <family val="2"/>
        <charset val="238"/>
      </rPr>
      <t>6901</t>
    </r>
    <r>
      <rPr>
        <sz val="10"/>
        <rFont val="Arial"/>
        <family val="2"/>
        <charset val="238"/>
      </rPr>
      <t xml:space="preserve"> - investice (rezerva)</t>
    </r>
  </si>
  <si>
    <r>
      <rPr>
        <b/>
        <sz val="10"/>
        <color indexed="10"/>
        <rFont val="Arial"/>
        <family val="2"/>
        <charset val="238"/>
      </rPr>
      <t>6130</t>
    </r>
    <r>
      <rPr>
        <sz val="10"/>
        <rFont val="Arial"/>
        <family val="2"/>
        <charset val="238"/>
      </rPr>
      <t xml:space="preserve"> - investice (pozemky)</t>
    </r>
  </si>
  <si>
    <t>231 30                        19   6330</t>
  </si>
  <si>
    <r>
      <rPr>
        <b/>
        <sz val="10"/>
        <color indexed="10"/>
        <rFont val="Arial"/>
        <family val="2"/>
        <charset val="238"/>
      </rPr>
      <t>5366</t>
    </r>
    <r>
      <rPr>
        <sz val="10"/>
        <rFont val="Arial"/>
        <family val="2"/>
        <charset val="238"/>
      </rPr>
      <t xml:space="preserve"> - Výdaje fin.vypořádání minulých let mezi krajem a 
          obcemi</t>
    </r>
  </si>
  <si>
    <r>
      <rPr>
        <b/>
        <sz val="10"/>
        <color indexed="10"/>
        <rFont val="Arial"/>
        <family val="2"/>
        <charset val="238"/>
      </rPr>
      <t>5229</t>
    </r>
    <r>
      <rPr>
        <sz val="10"/>
        <rFont val="Arial"/>
        <family val="2"/>
        <charset val="238"/>
      </rPr>
      <t xml:space="preserve"> - </t>
    </r>
    <r>
      <rPr>
        <sz val="9"/>
        <rFont val="Arial"/>
        <family val="2"/>
        <charset val="238"/>
      </rPr>
      <t>Ostatní neinvestiční transfery neziskovým a podobným organizacím</t>
    </r>
  </si>
  <si>
    <r>
      <rPr>
        <b/>
        <sz val="10"/>
        <color indexed="10"/>
        <rFont val="Arial"/>
        <family val="2"/>
        <charset val="238"/>
      </rPr>
      <t>5152</t>
    </r>
    <r>
      <rPr>
        <b/>
        <sz val="10"/>
        <rFont val="Arial"/>
        <family val="2"/>
        <charset val="238"/>
      </rPr>
      <t xml:space="preserve"> - </t>
    </r>
    <r>
      <rPr>
        <sz val="10"/>
        <rFont val="Arial"/>
        <family val="2"/>
        <charset val="238"/>
      </rPr>
      <t>Teplo</t>
    </r>
  </si>
  <si>
    <r>
      <rPr>
        <b/>
        <sz val="10"/>
        <color indexed="10"/>
        <rFont val="Arial"/>
        <family val="2"/>
        <charset val="238"/>
      </rPr>
      <t>5153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Plyn</t>
    </r>
  </si>
  <si>
    <t>231 30                        39   3619</t>
  </si>
  <si>
    <t>3619 - Ostatní rozvoj bydlení a bytového hospodářství</t>
  </si>
  <si>
    <t>231 30                        39   3636</t>
  </si>
  <si>
    <t>Územní rozvoj</t>
  </si>
  <si>
    <t>Ostatní záležitosti pozemních komunikací</t>
  </si>
  <si>
    <t>231 30                        10   2219</t>
  </si>
  <si>
    <t>výdaje - souhrn</t>
  </si>
  <si>
    <t>2219 - Ostatní záležitosti pozemních komunikací</t>
  </si>
  <si>
    <t>Běžné + investiční výdaje</t>
  </si>
  <si>
    <t>Běžné výdaje 2015</t>
  </si>
  <si>
    <t>Investiční výdaje 2015</t>
  </si>
  <si>
    <t>% plnění ke schválenému rozpočtu</t>
  </si>
  <si>
    <t xml:space="preserve">Ostatní rozvoj bydlení a bytového hospodářství </t>
  </si>
  <si>
    <t>3636 - Územní rozvoj</t>
  </si>
  <si>
    <t xml:space="preserve">3900 - Ostatní činnosti související se službami pro obyvatelstvo (projekt Systémová podpora rozvoje meziobecní spolupráce) </t>
  </si>
  <si>
    <t>Plnění rozpočtu leden - březen 2015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</si>
</sst>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#,##0.00000"/>
    <numFmt numFmtId="167" formatCode="#,##0.00\ &quot;Kč&quot;"/>
  </numFmts>
  <fonts count="4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sz val="8.5"/>
      <name val="Arial"/>
      <family val="2"/>
      <charset val="238"/>
    </font>
    <font>
      <sz val="11"/>
      <name val="Arial"/>
      <family val="2"/>
      <charset val="238"/>
    </font>
    <font>
      <b/>
      <sz val="7"/>
      <name val="Arial"/>
      <family val="2"/>
      <charset val="238"/>
    </font>
    <font>
      <sz val="10"/>
      <color theme="0"/>
      <name val="Arial"/>
      <family val="2"/>
      <charset val="238"/>
    </font>
    <font>
      <u/>
      <sz val="8"/>
      <color theme="10"/>
      <name val="Arial"/>
      <family val="2"/>
      <charset val="238"/>
    </font>
    <font>
      <u/>
      <sz val="15"/>
      <color theme="10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sz val="10"/>
      <color rgb="FFC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5"/>
      <name val="Arial"/>
      <family val="2"/>
      <charset val="238"/>
    </font>
    <font>
      <sz val="25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FF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4" fontId="5" fillId="3" borderId="0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5" fillId="0" borderId="0" xfId="1" applyNumberFormat="1" applyFont="1" applyFill="1" applyBorder="1" applyAlignment="1">
      <alignment horizontal="right" vertical="center"/>
    </xf>
    <xf numFmtId="4" fontId="0" fillId="0" borderId="3" xfId="0" applyNumberFormat="1" applyBorder="1"/>
    <xf numFmtId="0" fontId="5" fillId="0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/>
    <xf numFmtId="0" fontId="13" fillId="0" borderId="0" xfId="2" applyFont="1"/>
    <xf numFmtId="4" fontId="5" fillId="0" borderId="3" xfId="2" applyNumberFormat="1" applyFont="1" applyBorder="1"/>
    <xf numFmtId="4" fontId="2" fillId="0" borderId="3" xfId="2" applyNumberFormat="1" applyFont="1" applyBorder="1"/>
    <xf numFmtId="0" fontId="2" fillId="0" borderId="3" xfId="2" applyFont="1" applyBorder="1"/>
    <xf numFmtId="4" fontId="2" fillId="0" borderId="3" xfId="2" applyNumberFormat="1" applyFont="1" applyFill="1" applyBorder="1" applyAlignment="1">
      <alignment vertical="center"/>
    </xf>
    <xf numFmtId="0" fontId="2" fillId="0" borderId="3" xfId="2" applyFont="1" applyFill="1" applyBorder="1"/>
    <xf numFmtId="0" fontId="2" fillId="0" borderId="0" xfId="2" applyFont="1"/>
    <xf numFmtId="4" fontId="5" fillId="5" borderId="3" xfId="2" applyNumberFormat="1" applyFont="1" applyFill="1" applyBorder="1"/>
    <xf numFmtId="4" fontId="2" fillId="5" borderId="3" xfId="2" applyNumberFormat="1" applyFont="1" applyFill="1" applyBorder="1"/>
    <xf numFmtId="4" fontId="5" fillId="6" borderId="3" xfId="2" applyNumberFormat="1" applyFont="1" applyFill="1" applyBorder="1"/>
    <xf numFmtId="4" fontId="2" fillId="6" borderId="3" xfId="2" applyNumberFormat="1" applyFont="1" applyFill="1" applyBorder="1"/>
    <xf numFmtId="0" fontId="14" fillId="0" borderId="3" xfId="2" applyFont="1" applyBorder="1"/>
    <xf numFmtId="4" fontId="2" fillId="7" borderId="3" xfId="2" applyNumberFormat="1" applyFont="1" applyFill="1" applyBorder="1"/>
    <xf numFmtId="0" fontId="5" fillId="0" borderId="0" xfId="2" applyFont="1"/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0" fillId="0" borderId="0" xfId="0" applyBorder="1"/>
    <xf numFmtId="4" fontId="2" fillId="0" borderId="3" xfId="0" applyNumberFormat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5" fillId="0" borderId="3" xfId="0" applyNumberFormat="1" applyFont="1" applyBorder="1"/>
    <xf numFmtId="4" fontId="0" fillId="0" borderId="0" xfId="0" applyNumberFormat="1" applyBorder="1"/>
    <xf numFmtId="4" fontId="14" fillId="5" borderId="3" xfId="3" applyNumberFormat="1" applyFont="1" applyFill="1" applyBorder="1" applyAlignment="1">
      <alignment vertical="center"/>
    </xf>
    <xf numFmtId="4" fontId="14" fillId="0" borderId="3" xfId="3" applyNumberFormat="1" applyFont="1" applyFill="1" applyBorder="1" applyAlignment="1">
      <alignment vertical="center"/>
    </xf>
    <xf numFmtId="4" fontId="2" fillId="5" borderId="3" xfId="3" applyNumberFormat="1" applyFont="1" applyFill="1" applyBorder="1" applyAlignment="1">
      <alignment vertical="center"/>
    </xf>
    <xf numFmtId="4" fontId="2" fillId="0" borderId="3" xfId="3" applyNumberFormat="1" applyFont="1" applyFill="1" applyBorder="1" applyAlignment="1">
      <alignment vertical="center"/>
    </xf>
    <xf numFmtId="3" fontId="2" fillId="5" borderId="3" xfId="3" applyNumberFormat="1" applyFont="1" applyFill="1" applyBorder="1" applyAlignment="1">
      <alignment vertical="center"/>
    </xf>
    <xf numFmtId="4" fontId="9" fillId="0" borderId="3" xfId="3" applyNumberFormat="1" applyFont="1" applyFill="1" applyBorder="1" applyAlignment="1">
      <alignment horizontal="right" vertical="center"/>
    </xf>
    <xf numFmtId="0" fontId="9" fillId="0" borderId="3" xfId="3" applyFont="1" applyFill="1" applyBorder="1" applyAlignment="1">
      <alignment horizontal="right" vertical="center"/>
    </xf>
    <xf numFmtId="4" fontId="14" fillId="6" borderId="3" xfId="3" applyNumberFormat="1" applyFont="1" applyFill="1" applyBorder="1" applyAlignment="1">
      <alignment vertical="center"/>
    </xf>
    <xf numFmtId="4" fontId="5" fillId="6" borderId="3" xfId="3" applyNumberFormat="1" applyFont="1" applyFill="1" applyBorder="1" applyAlignment="1">
      <alignment vertical="center"/>
    </xf>
    <xf numFmtId="4" fontId="2" fillId="6" borderId="3" xfId="3" applyNumberFormat="1" applyFont="1" applyFill="1" applyBorder="1" applyAlignment="1">
      <alignment vertical="center"/>
    </xf>
    <xf numFmtId="4" fontId="9" fillId="0" borderId="3" xfId="3" applyNumberFormat="1" applyFont="1" applyFill="1" applyBorder="1" applyAlignment="1">
      <alignment vertical="center"/>
    </xf>
    <xf numFmtId="0" fontId="2" fillId="0" borderId="3" xfId="3" applyFont="1" applyFill="1" applyBorder="1" applyAlignment="1">
      <alignment vertical="center"/>
    </xf>
    <xf numFmtId="4" fontId="16" fillId="0" borderId="3" xfId="3" applyNumberFormat="1" applyFont="1" applyFill="1" applyBorder="1" applyAlignment="1">
      <alignment vertical="center"/>
    </xf>
    <xf numFmtId="0" fontId="14" fillId="0" borderId="3" xfId="3" applyFont="1" applyBorder="1" applyAlignment="1">
      <alignment vertical="center"/>
    </xf>
    <xf numFmtId="4" fontId="14" fillId="0" borderId="3" xfId="3" applyNumberFormat="1" applyFont="1" applyBorder="1" applyAlignment="1">
      <alignment vertical="center"/>
    </xf>
    <xf numFmtId="4" fontId="5" fillId="7" borderId="3" xfId="3" applyNumberFormat="1" applyFont="1" applyFill="1" applyBorder="1" applyAlignment="1">
      <alignment vertical="center"/>
    </xf>
    <xf numFmtId="4" fontId="5" fillId="0" borderId="3" xfId="3" applyNumberFormat="1" applyFont="1" applyFill="1" applyBorder="1" applyAlignment="1">
      <alignment vertical="center"/>
    </xf>
    <xf numFmtId="4" fontId="2" fillId="7" borderId="3" xfId="3" applyNumberFormat="1" applyFont="1" applyFill="1" applyBorder="1" applyAlignment="1">
      <alignment vertical="center"/>
    </xf>
    <xf numFmtId="0" fontId="14" fillId="0" borderId="3" xfId="3" applyFont="1" applyFill="1" applyBorder="1" applyAlignment="1">
      <alignment vertical="center"/>
    </xf>
    <xf numFmtId="3" fontId="2" fillId="7" borderId="3" xfId="3" applyNumberFormat="1" applyFont="1" applyFill="1" applyBorder="1" applyAlignment="1">
      <alignment vertical="center"/>
    </xf>
    <xf numFmtId="4" fontId="19" fillId="0" borderId="7" xfId="2" applyNumberFormat="1" applyFont="1" applyFill="1" applyBorder="1" applyAlignment="1">
      <alignment horizontal="center" vertical="center" wrapText="1"/>
    </xf>
    <xf numFmtId="0" fontId="0" fillId="0" borderId="3" xfId="2" applyFont="1" applyFill="1" applyBorder="1"/>
    <xf numFmtId="1" fontId="2" fillId="7" borderId="3" xfId="3" applyNumberFormat="1" applyFont="1" applyFill="1" applyBorder="1" applyAlignment="1">
      <alignment vertical="center"/>
    </xf>
    <xf numFmtId="165" fontId="2" fillId="0" borderId="0" xfId="1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5" fillId="4" borderId="0" xfId="1" applyNumberFormat="1" applyFont="1" applyFill="1" applyBorder="1" applyAlignment="1">
      <alignment horizontal="right" vertical="center"/>
    </xf>
    <xf numFmtId="0" fontId="2" fillId="8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2" xfId="0" applyFill="1" applyBorder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0" fillId="0" borderId="0" xfId="2" applyFont="1"/>
    <xf numFmtId="4" fontId="9" fillId="9" borderId="3" xfId="3" applyNumberFormat="1" applyFont="1" applyFill="1" applyBorder="1" applyAlignment="1">
      <alignment vertical="center"/>
    </xf>
    <xf numFmtId="3" fontId="2" fillId="6" borderId="3" xfId="3" applyNumberFormat="1" applyFont="1" applyFill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22" fillId="7" borderId="0" xfId="6" applyFont="1" applyFill="1" applyAlignment="1" applyProtection="1">
      <alignment horizontal="center" vertical="center"/>
    </xf>
    <xf numFmtId="0" fontId="7" fillId="0" borderId="15" xfId="0" applyFont="1" applyBorder="1" applyAlignment="1">
      <alignment vertical="center" wrapText="1"/>
    </xf>
    <xf numFmtId="0" fontId="12" fillId="5" borderId="3" xfId="2" applyFill="1" applyBorder="1" applyAlignment="1">
      <alignment vertical="center"/>
    </xf>
    <xf numFmtId="164" fontId="2" fillId="5" borderId="3" xfId="1" applyNumberFormat="1" applyFont="1" applyFill="1" applyBorder="1" applyAlignment="1">
      <alignment horizontal="center" vertical="center" wrapText="1"/>
    </xf>
    <xf numFmtId="4" fontId="12" fillId="5" borderId="3" xfId="2" applyNumberFormat="1" applyFill="1" applyBorder="1" applyAlignment="1">
      <alignment vertical="center"/>
    </xf>
    <xf numFmtId="4" fontId="0" fillId="5" borderId="3" xfId="2" applyNumberFormat="1" applyFont="1" applyFill="1" applyBorder="1" applyAlignment="1">
      <alignment vertical="center"/>
    </xf>
    <xf numFmtId="0" fontId="5" fillId="0" borderId="0" xfId="0" applyFont="1"/>
    <xf numFmtId="4" fontId="2" fillId="0" borderId="0" xfId="0" applyNumberFormat="1" applyFont="1"/>
    <xf numFmtId="0" fontId="5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2" fillId="0" borderId="3" xfId="5" applyFont="1" applyFill="1" applyBorder="1"/>
    <xf numFmtId="0" fontId="10" fillId="0" borderId="3" xfId="5" applyFont="1" applyFill="1" applyBorder="1"/>
    <xf numFmtId="4" fontId="2" fillId="0" borderId="3" xfId="5" applyNumberFormat="1" applyFont="1" applyFill="1" applyBorder="1"/>
    <xf numFmtId="4" fontId="2" fillId="0" borderId="8" xfId="5" applyNumberFormat="1" applyFont="1" applyFill="1" applyBorder="1"/>
    <xf numFmtId="0" fontId="2" fillId="0" borderId="3" xfId="5" applyFill="1" applyBorder="1"/>
    <xf numFmtId="4" fontId="2" fillId="0" borderId="3" xfId="5" applyNumberFormat="1" applyFill="1" applyBorder="1"/>
    <xf numFmtId="4" fontId="0" fillId="0" borderId="3" xfId="0" applyNumberFormat="1" applyBorder="1" applyAlignment="1">
      <alignment vertical="center"/>
    </xf>
    <xf numFmtId="0" fontId="17" fillId="0" borderId="3" xfId="5" applyFont="1" applyFill="1" applyBorder="1"/>
    <xf numFmtId="0" fontId="10" fillId="0" borderId="3" xfId="5" applyFont="1" applyBorder="1"/>
    <xf numFmtId="4" fontId="2" fillId="0" borderId="3" xfId="5" applyNumberFormat="1" applyBorder="1"/>
    <xf numFmtId="0" fontId="2" fillId="0" borderId="3" xfId="5" applyFont="1" applyBorder="1"/>
    <xf numFmtId="0" fontId="2" fillId="0" borderId="3" xfId="5" applyBorder="1"/>
    <xf numFmtId="0" fontId="2" fillId="0" borderId="3" xfId="5" applyBorder="1" applyAlignment="1">
      <alignment vertical="center" wrapText="1"/>
    </xf>
    <xf numFmtId="4" fontId="2" fillId="0" borderId="3" xfId="5" applyNumberFormat="1" applyBorder="1" applyAlignment="1">
      <alignment vertical="center"/>
    </xf>
    <xf numFmtId="0" fontId="0" fillId="0" borderId="3" xfId="5" applyFont="1" applyBorder="1"/>
    <xf numFmtId="0" fontId="0" fillId="0" borderId="3" xfId="5" applyFont="1" applyBorder="1" applyAlignment="1">
      <alignment wrapText="1"/>
    </xf>
    <xf numFmtId="4" fontId="0" fillId="5" borderId="3" xfId="0" applyNumberFormat="1" applyFill="1" applyBorder="1" applyAlignment="1">
      <alignment vertical="center"/>
    </xf>
    <xf numFmtId="0" fontId="0" fillId="0" borderId="3" xfId="5" applyFont="1" applyFill="1" applyBorder="1"/>
    <xf numFmtId="0" fontId="14" fillId="0" borderId="0" xfId="2" applyFont="1" applyFill="1" applyBorder="1"/>
    <xf numFmtId="4" fontId="23" fillId="0" borderId="0" xfId="2" applyNumberFormat="1" applyFont="1" applyBorder="1"/>
    <xf numFmtId="0" fontId="13" fillId="0" borderId="3" xfId="2" applyFont="1" applyFill="1" applyBorder="1" applyAlignment="1">
      <alignment horizontal="center" vertical="center"/>
    </xf>
    <xf numFmtId="4" fontId="23" fillId="0" borderId="3" xfId="2" applyNumberFormat="1" applyFont="1" applyBorder="1" applyAlignment="1">
      <alignment vertical="center"/>
    </xf>
    <xf numFmtId="0" fontId="13" fillId="0" borderId="3" xfId="2" applyFont="1" applyFill="1" applyBorder="1" applyAlignment="1">
      <alignment vertical="center"/>
    </xf>
    <xf numFmtId="0" fontId="5" fillId="8" borderId="3" xfId="3" applyFont="1" applyFill="1" applyBorder="1" applyAlignment="1">
      <alignment horizontal="left"/>
    </xf>
    <xf numFmtId="0" fontId="25" fillId="0" borderId="3" xfId="6" applyFont="1" applyFill="1" applyBorder="1" applyAlignment="1" applyProtection="1">
      <alignment vertical="center"/>
    </xf>
    <xf numFmtId="0" fontId="26" fillId="0" borderId="3" xfId="0" applyFont="1" applyFill="1" applyBorder="1" applyAlignment="1">
      <alignment horizontal="right" vertical="center"/>
    </xf>
    <xf numFmtId="0" fontId="25" fillId="0" borderId="3" xfId="6" applyFont="1" applyFill="1" applyBorder="1" applyAlignment="1" applyProtection="1">
      <alignment vertical="center" wrapText="1"/>
    </xf>
    <xf numFmtId="0" fontId="25" fillId="0" borderId="3" xfId="6" applyFont="1" applyFill="1" applyBorder="1" applyAlignment="1" applyProtection="1">
      <alignment horizontal="left" vertical="center" wrapText="1"/>
    </xf>
    <xf numFmtId="0" fontId="25" fillId="0" borderId="3" xfId="6" applyFont="1" applyFill="1" applyBorder="1" applyAlignment="1" applyProtection="1">
      <alignment horizontal="left" vertical="center"/>
    </xf>
    <xf numFmtId="0" fontId="24" fillId="0" borderId="3" xfId="2" applyFont="1" applyFill="1" applyBorder="1" applyAlignment="1">
      <alignment vertical="center"/>
    </xf>
    <xf numFmtId="0" fontId="27" fillId="0" borderId="0" xfId="3" applyFont="1" applyBorder="1"/>
    <xf numFmtId="0" fontId="27" fillId="0" borderId="0" xfId="3" applyFont="1"/>
    <xf numFmtId="0" fontId="27" fillId="0" borderId="0" xfId="3" applyFont="1" applyFill="1"/>
    <xf numFmtId="0" fontId="27" fillId="0" borderId="0" xfId="3" applyFont="1" applyAlignment="1"/>
    <xf numFmtId="0" fontId="27" fillId="0" borderId="0" xfId="3" applyFont="1" applyBorder="1" applyAlignment="1"/>
    <xf numFmtId="0" fontId="27" fillId="0" borderId="0" xfId="3" applyFont="1" applyAlignment="1">
      <alignment vertical="center"/>
    </xf>
    <xf numFmtId="0" fontId="27" fillId="0" borderId="2" xfId="3" applyFont="1" applyBorder="1" applyAlignment="1">
      <alignment horizontal="center" vertical="center"/>
    </xf>
    <xf numFmtId="49" fontId="27" fillId="0" borderId="1" xfId="3" applyNumberFormat="1" applyFont="1" applyBorder="1" applyAlignment="1">
      <alignment horizontal="center" vertical="center"/>
    </xf>
    <xf numFmtId="4" fontId="28" fillId="4" borderId="3" xfId="3" applyNumberFormat="1" applyFont="1" applyFill="1" applyBorder="1"/>
    <xf numFmtId="4" fontId="27" fillId="4" borderId="3" xfId="3" applyNumberFormat="1" applyFont="1" applyFill="1" applyBorder="1"/>
    <xf numFmtId="49" fontId="27" fillId="0" borderId="12" xfId="3" applyNumberFormat="1" applyFont="1" applyBorder="1" applyAlignment="1">
      <alignment horizontal="center" vertical="center"/>
    </xf>
    <xf numFmtId="0" fontId="27" fillId="0" borderId="11" xfId="3" applyFont="1" applyBorder="1" applyAlignment="1">
      <alignment vertical="center"/>
    </xf>
    <xf numFmtId="4" fontId="29" fillId="4" borderId="3" xfId="3" applyNumberFormat="1" applyFont="1" applyFill="1" applyBorder="1"/>
    <xf numFmtId="4" fontId="27" fillId="0" borderId="3" xfId="3" applyNumberFormat="1" applyFont="1" applyFill="1" applyBorder="1"/>
    <xf numFmtId="4" fontId="30" fillId="0" borderId="3" xfId="3" applyNumberFormat="1" applyFont="1" applyFill="1" applyBorder="1" applyAlignment="1">
      <alignment vertical="center"/>
    </xf>
    <xf numFmtId="3" fontId="30" fillId="0" borderId="3" xfId="3" applyNumberFormat="1" applyFont="1" applyFill="1" applyBorder="1" applyAlignment="1">
      <alignment vertical="center"/>
    </xf>
    <xf numFmtId="49" fontId="27" fillId="0" borderId="1" xfId="3" applyNumberFormat="1" applyFont="1" applyFill="1" applyBorder="1" applyAlignment="1">
      <alignment horizontal="center" vertical="center"/>
    </xf>
    <xf numFmtId="4" fontId="31" fillId="0" borderId="3" xfId="3" applyNumberFormat="1" applyFont="1" applyFill="1" applyBorder="1" applyAlignment="1">
      <alignment vertical="center"/>
    </xf>
    <xf numFmtId="0" fontId="31" fillId="0" borderId="3" xfId="3" applyFont="1" applyFill="1" applyBorder="1" applyAlignment="1">
      <alignment vertical="center"/>
    </xf>
    <xf numFmtId="0" fontId="30" fillId="0" borderId="3" xfId="3" applyFont="1" applyFill="1" applyBorder="1" applyAlignment="1">
      <alignment vertical="center"/>
    </xf>
    <xf numFmtId="2" fontId="30" fillId="0" borderId="3" xfId="3" applyNumberFormat="1" applyFont="1" applyFill="1" applyBorder="1" applyAlignment="1">
      <alignment vertical="center"/>
    </xf>
    <xf numFmtId="0" fontId="27" fillId="0" borderId="12" xfId="3" applyFont="1" applyBorder="1" applyAlignment="1">
      <alignment vertical="center"/>
    </xf>
    <xf numFmtId="0" fontId="27" fillId="0" borderId="9" xfId="3" applyFont="1" applyBorder="1" applyAlignment="1">
      <alignment vertical="center"/>
    </xf>
    <xf numFmtId="4" fontId="27" fillId="0" borderId="3" xfId="2" applyNumberFormat="1" applyFont="1" applyFill="1" applyBorder="1"/>
    <xf numFmtId="4" fontId="32" fillId="0" borderId="3" xfId="2" applyNumberFormat="1" applyFont="1" applyFill="1" applyBorder="1" applyAlignment="1">
      <alignment vertical="center"/>
    </xf>
    <xf numFmtId="0" fontId="27" fillId="0" borderId="0" xfId="2" applyFont="1"/>
    <xf numFmtId="4" fontId="27" fillId="0" borderId="3" xfId="2" applyNumberFormat="1" applyFont="1" applyFill="1" applyBorder="1" applyAlignment="1">
      <alignment vertical="center"/>
    </xf>
    <xf numFmtId="0" fontId="31" fillId="0" borderId="3" xfId="2" applyFont="1" applyFill="1" applyBorder="1" applyAlignment="1">
      <alignment vertical="center"/>
    </xf>
    <xf numFmtId="0" fontId="27" fillId="0" borderId="0" xfId="2" applyFont="1" applyFill="1"/>
    <xf numFmtId="4" fontId="28" fillId="0" borderId="3" xfId="3" applyNumberFormat="1" applyFont="1" applyFill="1" applyBorder="1"/>
    <xf numFmtId="0" fontId="27" fillId="0" borderId="13" xfId="3" applyFont="1" applyBorder="1" applyAlignment="1">
      <alignment vertical="center"/>
    </xf>
    <xf numFmtId="0" fontId="2" fillId="8" borderId="3" xfId="3" applyFont="1" applyFill="1" applyBorder="1" applyAlignment="1">
      <alignment horizontal="left" vertical="center"/>
    </xf>
    <xf numFmtId="4" fontId="27" fillId="0" borderId="3" xfId="3" applyNumberFormat="1" applyFont="1" applyBorder="1" applyAlignment="1">
      <alignment vertical="center"/>
    </xf>
    <xf numFmtId="4" fontId="27" fillId="0" borderId="3" xfId="3" applyNumberFormat="1" applyFont="1" applyFill="1" applyBorder="1" applyAlignment="1">
      <alignment vertical="center"/>
    </xf>
    <xf numFmtId="1" fontId="27" fillId="0" borderId="3" xfId="3" applyNumberFormat="1" applyFont="1" applyBorder="1" applyAlignment="1">
      <alignment vertical="center"/>
    </xf>
    <xf numFmtId="2" fontId="27" fillId="0" borderId="3" xfId="3" applyNumberFormat="1" applyFont="1" applyBorder="1" applyAlignment="1">
      <alignment vertical="center"/>
    </xf>
    <xf numFmtId="0" fontId="18" fillId="0" borderId="0" xfId="3" applyFont="1"/>
    <xf numFmtId="4" fontId="18" fillId="0" borderId="0" xfId="3" applyNumberFormat="1" applyFont="1"/>
    <xf numFmtId="4" fontId="27" fillId="0" borderId="0" xfId="3" applyNumberFormat="1" applyFont="1"/>
    <xf numFmtId="4" fontId="27" fillId="0" borderId="0" xfId="3" applyNumberFormat="1" applyFont="1" applyFill="1"/>
    <xf numFmtId="4" fontId="33" fillId="0" borderId="3" xfId="3" applyNumberFormat="1" applyFont="1" applyFill="1" applyBorder="1" applyAlignment="1">
      <alignment vertical="center"/>
    </xf>
    <xf numFmtId="4" fontId="13" fillId="6" borderId="3" xfId="3" applyNumberFormat="1" applyFont="1" applyFill="1" applyBorder="1" applyAlignment="1">
      <alignment vertical="center"/>
    </xf>
    <xf numFmtId="4" fontId="13" fillId="7" borderId="3" xfId="3" applyNumberFormat="1" applyFont="1" applyFill="1" applyBorder="1" applyAlignment="1">
      <alignment vertical="center"/>
    </xf>
    <xf numFmtId="4" fontId="13" fillId="5" borderId="3" xfId="2" applyNumberFormat="1" applyFont="1" applyFill="1" applyBorder="1"/>
    <xf numFmtId="4" fontId="13" fillId="6" borderId="3" xfId="2" applyNumberFormat="1" applyFont="1" applyFill="1" applyBorder="1"/>
    <xf numFmtId="4" fontId="13" fillId="7" borderId="3" xfId="2" applyNumberFormat="1" applyFont="1" applyFill="1" applyBorder="1"/>
    <xf numFmtId="164" fontId="2" fillId="0" borderId="3" xfId="1" applyNumberFormat="1" applyFont="1" applyFill="1" applyBorder="1" applyAlignment="1">
      <alignment horizontal="center" vertical="center" wrapText="1"/>
    </xf>
    <xf numFmtId="4" fontId="0" fillId="0" borderId="3" xfId="0" applyNumberFormat="1" applyFill="1" applyBorder="1" applyAlignment="1"/>
    <xf numFmtId="4" fontId="5" fillId="0" borderId="3" xfId="0" applyNumberFormat="1" applyFont="1" applyFill="1" applyBorder="1" applyAlignment="1"/>
    <xf numFmtId="49" fontId="27" fillId="0" borderId="1" xfId="2" applyNumberFormat="1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right" vertical="center" wrapText="1"/>
    </xf>
    <xf numFmtId="0" fontId="7" fillId="0" borderId="9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right" vertical="center"/>
    </xf>
    <xf numFmtId="0" fontId="13" fillId="0" borderId="3" xfId="2" applyFont="1" applyFill="1" applyBorder="1" applyAlignment="1">
      <alignment horizontal="center" vertical="center" wrapText="1"/>
    </xf>
    <xf numFmtId="0" fontId="0" fillId="0" borderId="16" xfId="5" applyFont="1" applyFill="1" applyBorder="1" applyAlignment="1">
      <alignment wrapText="1"/>
    </xf>
    <xf numFmtId="0" fontId="0" fillId="0" borderId="3" xfId="5" applyFont="1" applyFill="1" applyBorder="1" applyAlignment="1">
      <alignment wrapText="1"/>
    </xf>
    <xf numFmtId="0" fontId="2" fillId="0" borderId="0" xfId="2" applyFont="1" applyAlignment="1">
      <alignment horizontal="center"/>
    </xf>
    <xf numFmtId="0" fontId="35" fillId="0" borderId="0" xfId="2" applyFont="1" applyAlignment="1">
      <alignment horizontal="right"/>
    </xf>
    <xf numFmtId="4" fontId="36" fillId="0" borderId="3" xfId="3" applyNumberFormat="1" applyFont="1" applyFill="1" applyBorder="1" applyAlignment="1">
      <alignment vertical="center"/>
    </xf>
    <xf numFmtId="3" fontId="37" fillId="0" borderId="3" xfId="3" applyNumberFormat="1" applyFont="1" applyBorder="1" applyAlignment="1">
      <alignment vertical="center"/>
    </xf>
    <xf numFmtId="3" fontId="11" fillId="0" borderId="3" xfId="3" applyNumberFormat="1" applyFont="1" applyBorder="1" applyAlignment="1">
      <alignment vertical="center"/>
    </xf>
    <xf numFmtId="4" fontId="18" fillId="5" borderId="3" xfId="3" applyNumberFormat="1" applyFont="1" applyFill="1" applyBorder="1" applyAlignment="1">
      <alignment vertical="center"/>
    </xf>
    <xf numFmtId="4" fontId="18" fillId="0" borderId="3" xfId="3" applyNumberFormat="1" applyFont="1" applyBorder="1" applyAlignment="1">
      <alignment vertical="center"/>
    </xf>
    <xf numFmtId="4" fontId="0" fillId="6" borderId="3" xfId="3" applyNumberFormat="1" applyFont="1" applyFill="1" applyBorder="1" applyAlignment="1">
      <alignment vertical="center"/>
    </xf>
    <xf numFmtId="1" fontId="2" fillId="0" borderId="3" xfId="3" applyNumberFormat="1" applyFont="1" applyFill="1" applyBorder="1" applyAlignment="1">
      <alignment vertical="center"/>
    </xf>
    <xf numFmtId="49" fontId="27" fillId="0" borderId="12" xfId="3" applyNumberFormat="1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2" fillId="0" borderId="14" xfId="3" applyFont="1" applyFill="1" applyBorder="1" applyAlignment="1">
      <alignment horizontal="left" vertical="center"/>
    </xf>
    <xf numFmtId="4" fontId="27" fillId="0" borderId="14" xfId="3" applyNumberFormat="1" applyFont="1" applyFill="1" applyBorder="1"/>
    <xf numFmtId="4" fontId="2" fillId="0" borderId="14" xfId="3" applyNumberFormat="1" applyFont="1" applyFill="1" applyBorder="1" applyAlignment="1">
      <alignment vertical="center"/>
    </xf>
    <xf numFmtId="1" fontId="2" fillId="0" borderId="14" xfId="3" applyNumberFormat="1" applyFont="1" applyFill="1" applyBorder="1" applyAlignment="1">
      <alignment vertical="center"/>
    </xf>
    <xf numFmtId="0" fontId="27" fillId="0" borderId="0" xfId="3" applyFont="1" applyFill="1" applyBorder="1"/>
    <xf numFmtId="4" fontId="0" fillId="5" borderId="3" xfId="3" applyNumberFormat="1" applyFont="1" applyFill="1" applyBorder="1" applyAlignment="1">
      <alignment vertical="center"/>
    </xf>
    <xf numFmtId="0" fontId="27" fillId="0" borderId="0" xfId="3" applyFont="1" applyAlignment="1">
      <alignment horizontal="right"/>
    </xf>
    <xf numFmtId="0" fontId="27" fillId="0" borderId="0" xfId="3" applyFont="1" applyBorder="1" applyAlignment="1">
      <alignment horizontal="right"/>
    </xf>
    <xf numFmtId="4" fontId="38" fillId="0" borderId="3" xfId="3" applyNumberFormat="1" applyFont="1" applyBorder="1" applyAlignment="1">
      <alignment vertical="center"/>
    </xf>
    <xf numFmtId="4" fontId="2" fillId="0" borderId="3" xfId="2" applyNumberFormat="1" applyFont="1" applyFill="1" applyBorder="1"/>
    <xf numFmtId="4" fontId="0" fillId="0" borderId="3" xfId="1" applyNumberFormat="1" applyFont="1" applyFill="1" applyBorder="1" applyAlignment="1">
      <alignment horizontal="center" vertical="center" wrapText="1"/>
    </xf>
    <xf numFmtId="164" fontId="0" fillId="0" borderId="3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0" fontId="12" fillId="0" borderId="0" xfId="2" applyFill="1" applyAlignment="1">
      <alignment vertical="center"/>
    </xf>
    <xf numFmtId="4" fontId="12" fillId="0" borderId="3" xfId="2" applyNumberFormat="1" applyFill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3" fillId="0" borderId="0" xfId="1" applyFont="1" applyAlignment="1">
      <alignment vertical="center"/>
    </xf>
    <xf numFmtId="165" fontId="2" fillId="0" borderId="0" xfId="1" applyNumberForma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4" fontId="5" fillId="3" borderId="3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" fontId="2" fillId="0" borderId="3" xfId="1" applyNumberFormat="1" applyFont="1" applyBorder="1" applyAlignment="1">
      <alignment vertical="center"/>
    </xf>
    <xf numFmtId="4" fontId="5" fillId="0" borderId="3" xfId="1" applyNumberFormat="1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4" fontId="0" fillId="5" borderId="3" xfId="0" applyNumberFormat="1" applyFont="1" applyFill="1" applyBorder="1" applyAlignment="1">
      <alignment vertical="center"/>
    </xf>
    <xf numFmtId="4" fontId="2" fillId="0" borderId="3" xfId="1" applyNumberFormat="1" applyBorder="1" applyAlignment="1">
      <alignment vertical="center"/>
    </xf>
    <xf numFmtId="0" fontId="0" fillId="0" borderId="3" xfId="1" applyFont="1" applyFill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0" xfId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3" xfId="1" applyFont="1" applyFill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4" fontId="0" fillId="0" borderId="3" xfId="0" applyNumberForma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vertical="center"/>
    </xf>
    <xf numFmtId="0" fontId="2" fillId="10" borderId="0" xfId="1" applyFill="1" applyBorder="1" applyAlignment="1">
      <alignment vertical="center" wrapText="1"/>
    </xf>
    <xf numFmtId="4" fontId="5" fillId="10" borderId="3" xfId="0" applyNumberFormat="1" applyFont="1" applyFill="1" applyBorder="1" applyAlignment="1">
      <alignment vertical="center"/>
    </xf>
    <xf numFmtId="0" fontId="4" fillId="10" borderId="0" xfId="1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2" fillId="11" borderId="2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5" fillId="10" borderId="4" xfId="1" applyFont="1" applyFill="1" applyBorder="1" applyAlignment="1">
      <alignment vertical="center" wrapText="1"/>
    </xf>
    <xf numFmtId="4" fontId="5" fillId="10" borderId="0" xfId="1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12" fillId="4" borderId="3" xfId="2" applyNumberFormat="1" applyFill="1" applyBorder="1" applyAlignment="1">
      <alignment vertical="center"/>
    </xf>
    <xf numFmtId="0" fontId="12" fillId="4" borderId="3" xfId="2" applyFill="1" applyBorder="1" applyAlignment="1">
      <alignment vertical="center"/>
    </xf>
    <xf numFmtId="4" fontId="0" fillId="4" borderId="3" xfId="2" applyNumberFormat="1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Fill="1" applyAlignment="1">
      <alignment vertical="center"/>
    </xf>
    <xf numFmtId="0" fontId="35" fillId="0" borderId="0" xfId="2" applyFont="1" applyAlignment="1">
      <alignment horizontal="right" vertical="center"/>
    </xf>
    <xf numFmtId="0" fontId="25" fillId="0" borderId="3" xfId="6" applyFont="1" applyBorder="1" applyAlignment="1" applyProtection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right" vertical="center"/>
    </xf>
    <xf numFmtId="4" fontId="5" fillId="0" borderId="0" xfId="2" applyNumberFormat="1" applyFont="1" applyFill="1" applyAlignment="1">
      <alignment horizontal="center" vertical="center"/>
    </xf>
    <xf numFmtId="0" fontId="12" fillId="0" borderId="0" xfId="2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167" fontId="5" fillId="5" borderId="3" xfId="2" applyNumberFormat="1" applyFont="1" applyFill="1" applyBorder="1" applyAlignment="1">
      <alignment vertical="center"/>
    </xf>
    <xf numFmtId="164" fontId="39" fillId="0" borderId="3" xfId="1" applyNumberFormat="1" applyFont="1" applyFill="1" applyBorder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0" fontId="2" fillId="0" borderId="3" xfId="2" applyFont="1" applyFill="1" applyBorder="1" applyProtection="1">
      <protection hidden="1"/>
    </xf>
    <xf numFmtId="0" fontId="28" fillId="0" borderId="0" xfId="3" applyFont="1" applyBorder="1" applyAlignment="1">
      <alignment horizontal="center" vertical="center"/>
    </xf>
    <xf numFmtId="0" fontId="34" fillId="0" borderId="0" xfId="3" applyFont="1" applyAlignment="1"/>
    <xf numFmtId="0" fontId="34" fillId="0" borderId="0" xfId="3" applyFont="1" applyBorder="1" applyAlignment="1"/>
    <xf numFmtId="0" fontId="39" fillId="0" borderId="0" xfId="0" applyFont="1" applyAlignment="1">
      <alignment horizontal="center" vertical="center"/>
    </xf>
  </cellXfs>
  <cellStyles count="7">
    <cellStyle name="Hypertextový odkaz" xfId="6" builtinId="8"/>
    <cellStyle name="normální" xfId="0" builtinId="0"/>
    <cellStyle name="normální 2" xfId="1"/>
    <cellStyle name="normální 2 2" xfId="4"/>
    <cellStyle name="normální 3" xfId="2"/>
    <cellStyle name="normální 3 2" xfId="3"/>
    <cellStyle name="normální 4" xf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AF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63"/>
  <sheetViews>
    <sheetView tabSelected="1" zoomScaleNormal="100" workbookViewId="0">
      <selection activeCell="C35" sqref="C35"/>
    </sheetView>
  </sheetViews>
  <sheetFormatPr defaultRowHeight="5.65" customHeight="1"/>
  <cols>
    <col min="1" max="1" width="39.28515625" style="21" customWidth="1"/>
    <col min="2" max="2" width="29.7109375" style="21" customWidth="1"/>
    <col min="3" max="3" width="25.28515625" style="21" customWidth="1"/>
    <col min="4" max="243" width="9.140625" style="21"/>
    <col min="244" max="244" width="9.140625" style="21" customWidth="1"/>
    <col min="245" max="245" width="27.140625" style="21" customWidth="1"/>
    <col min="246" max="252" width="9.140625" style="21" customWidth="1"/>
    <col min="253" max="253" width="11.140625" style="21" customWidth="1"/>
    <col min="254" max="254" width="15" style="21" customWidth="1"/>
    <col min="255" max="255" width="13.85546875" style="21" customWidth="1"/>
    <col min="256" max="256" width="12.28515625" style="21" customWidth="1"/>
    <col min="257" max="258" width="9.140625" style="21"/>
    <col min="259" max="259" width="19" style="21" customWidth="1"/>
    <col min="260" max="499" width="9.140625" style="21"/>
    <col min="500" max="500" width="9.140625" style="21" customWidth="1"/>
    <col min="501" max="501" width="27.140625" style="21" customWidth="1"/>
    <col min="502" max="508" width="9.140625" style="21" customWidth="1"/>
    <col min="509" max="509" width="11.140625" style="21" customWidth="1"/>
    <col min="510" max="510" width="15" style="21" customWidth="1"/>
    <col min="511" max="511" width="13.85546875" style="21" customWidth="1"/>
    <col min="512" max="512" width="12.28515625" style="21" customWidth="1"/>
    <col min="513" max="514" width="9.140625" style="21"/>
    <col min="515" max="515" width="19" style="21" customWidth="1"/>
    <col min="516" max="755" width="9.140625" style="21"/>
    <col min="756" max="756" width="9.140625" style="21" customWidth="1"/>
    <col min="757" max="757" width="27.140625" style="21" customWidth="1"/>
    <col min="758" max="764" width="9.140625" style="21" customWidth="1"/>
    <col min="765" max="765" width="11.140625" style="21" customWidth="1"/>
    <col min="766" max="766" width="15" style="21" customWidth="1"/>
    <col min="767" max="767" width="13.85546875" style="21" customWidth="1"/>
    <col min="768" max="768" width="12.28515625" style="21" customWidth="1"/>
    <col min="769" max="770" width="9.140625" style="21"/>
    <col min="771" max="771" width="19" style="21" customWidth="1"/>
    <col min="772" max="1011" width="9.140625" style="21"/>
    <col min="1012" max="1012" width="9.140625" style="21" customWidth="1"/>
    <col min="1013" max="1013" width="27.140625" style="21" customWidth="1"/>
    <col min="1014" max="1020" width="9.140625" style="21" customWidth="1"/>
    <col min="1021" max="1021" width="11.140625" style="21" customWidth="1"/>
    <col min="1022" max="1022" width="15" style="21" customWidth="1"/>
    <col min="1023" max="1023" width="13.85546875" style="21" customWidth="1"/>
    <col min="1024" max="1024" width="12.28515625" style="21" customWidth="1"/>
    <col min="1025" max="1026" width="9.140625" style="21"/>
    <col min="1027" max="1027" width="19" style="21" customWidth="1"/>
    <col min="1028" max="1267" width="9.140625" style="21"/>
    <col min="1268" max="1268" width="9.140625" style="21" customWidth="1"/>
    <col min="1269" max="1269" width="27.140625" style="21" customWidth="1"/>
    <col min="1270" max="1276" width="9.140625" style="21" customWidth="1"/>
    <col min="1277" max="1277" width="11.140625" style="21" customWidth="1"/>
    <col min="1278" max="1278" width="15" style="21" customWidth="1"/>
    <col min="1279" max="1279" width="13.85546875" style="21" customWidth="1"/>
    <col min="1280" max="1280" width="12.28515625" style="21" customWidth="1"/>
    <col min="1281" max="1282" width="9.140625" style="21"/>
    <col min="1283" max="1283" width="19" style="21" customWidth="1"/>
    <col min="1284" max="1523" width="9.140625" style="21"/>
    <col min="1524" max="1524" width="9.140625" style="21" customWidth="1"/>
    <col min="1525" max="1525" width="27.140625" style="21" customWidth="1"/>
    <col min="1526" max="1532" width="9.140625" style="21" customWidth="1"/>
    <col min="1533" max="1533" width="11.140625" style="21" customWidth="1"/>
    <col min="1534" max="1534" width="15" style="21" customWidth="1"/>
    <col min="1535" max="1535" width="13.85546875" style="21" customWidth="1"/>
    <col min="1536" max="1536" width="12.28515625" style="21" customWidth="1"/>
    <col min="1537" max="1538" width="9.140625" style="21"/>
    <col min="1539" max="1539" width="19" style="21" customWidth="1"/>
    <col min="1540" max="1779" width="9.140625" style="21"/>
    <col min="1780" max="1780" width="9.140625" style="21" customWidth="1"/>
    <col min="1781" max="1781" width="27.140625" style="21" customWidth="1"/>
    <col min="1782" max="1788" width="9.140625" style="21" customWidth="1"/>
    <col min="1789" max="1789" width="11.140625" style="21" customWidth="1"/>
    <col min="1790" max="1790" width="15" style="21" customWidth="1"/>
    <col min="1791" max="1791" width="13.85546875" style="21" customWidth="1"/>
    <col min="1792" max="1792" width="12.28515625" style="21" customWidth="1"/>
    <col min="1793" max="1794" width="9.140625" style="21"/>
    <col min="1795" max="1795" width="19" style="21" customWidth="1"/>
    <col min="1796" max="2035" width="9.140625" style="21"/>
    <col min="2036" max="2036" width="9.140625" style="21" customWidth="1"/>
    <col min="2037" max="2037" width="27.140625" style="21" customWidth="1"/>
    <col min="2038" max="2044" width="9.140625" style="21" customWidth="1"/>
    <col min="2045" max="2045" width="11.140625" style="21" customWidth="1"/>
    <col min="2046" max="2046" width="15" style="21" customWidth="1"/>
    <col min="2047" max="2047" width="13.85546875" style="21" customWidth="1"/>
    <col min="2048" max="2048" width="12.28515625" style="21" customWidth="1"/>
    <col min="2049" max="2050" width="9.140625" style="21"/>
    <col min="2051" max="2051" width="19" style="21" customWidth="1"/>
    <col min="2052" max="2291" width="9.140625" style="21"/>
    <col min="2292" max="2292" width="9.140625" style="21" customWidth="1"/>
    <col min="2293" max="2293" width="27.140625" style="21" customWidth="1"/>
    <col min="2294" max="2300" width="9.140625" style="21" customWidth="1"/>
    <col min="2301" max="2301" width="11.140625" style="21" customWidth="1"/>
    <col min="2302" max="2302" width="15" style="21" customWidth="1"/>
    <col min="2303" max="2303" width="13.85546875" style="21" customWidth="1"/>
    <col min="2304" max="2304" width="12.28515625" style="21" customWidth="1"/>
    <col min="2305" max="2306" width="9.140625" style="21"/>
    <col min="2307" max="2307" width="19" style="21" customWidth="1"/>
    <col min="2308" max="2547" width="9.140625" style="21"/>
    <col min="2548" max="2548" width="9.140625" style="21" customWidth="1"/>
    <col min="2549" max="2549" width="27.140625" style="21" customWidth="1"/>
    <col min="2550" max="2556" width="9.140625" style="21" customWidth="1"/>
    <col min="2557" max="2557" width="11.140625" style="21" customWidth="1"/>
    <col min="2558" max="2558" width="15" style="21" customWidth="1"/>
    <col min="2559" max="2559" width="13.85546875" style="21" customWidth="1"/>
    <col min="2560" max="2560" width="12.28515625" style="21" customWidth="1"/>
    <col min="2561" max="2562" width="9.140625" style="21"/>
    <col min="2563" max="2563" width="19" style="21" customWidth="1"/>
    <col min="2564" max="2803" width="9.140625" style="21"/>
    <col min="2804" max="2804" width="9.140625" style="21" customWidth="1"/>
    <col min="2805" max="2805" width="27.140625" style="21" customWidth="1"/>
    <col min="2806" max="2812" width="9.140625" style="21" customWidth="1"/>
    <col min="2813" max="2813" width="11.140625" style="21" customWidth="1"/>
    <col min="2814" max="2814" width="15" style="21" customWidth="1"/>
    <col min="2815" max="2815" width="13.85546875" style="21" customWidth="1"/>
    <col min="2816" max="2816" width="12.28515625" style="21" customWidth="1"/>
    <col min="2817" max="2818" width="9.140625" style="21"/>
    <col min="2819" max="2819" width="19" style="21" customWidth="1"/>
    <col min="2820" max="3059" width="9.140625" style="21"/>
    <col min="3060" max="3060" width="9.140625" style="21" customWidth="1"/>
    <col min="3061" max="3061" width="27.140625" style="21" customWidth="1"/>
    <col min="3062" max="3068" width="9.140625" style="21" customWidth="1"/>
    <col min="3069" max="3069" width="11.140625" style="21" customWidth="1"/>
    <col min="3070" max="3070" width="15" style="21" customWidth="1"/>
    <col min="3071" max="3071" width="13.85546875" style="21" customWidth="1"/>
    <col min="3072" max="3072" width="12.28515625" style="21" customWidth="1"/>
    <col min="3073" max="3074" width="9.140625" style="21"/>
    <col min="3075" max="3075" width="19" style="21" customWidth="1"/>
    <col min="3076" max="3315" width="9.140625" style="21"/>
    <col min="3316" max="3316" width="9.140625" style="21" customWidth="1"/>
    <col min="3317" max="3317" width="27.140625" style="21" customWidth="1"/>
    <col min="3318" max="3324" width="9.140625" style="21" customWidth="1"/>
    <col min="3325" max="3325" width="11.140625" style="21" customWidth="1"/>
    <col min="3326" max="3326" width="15" style="21" customWidth="1"/>
    <col min="3327" max="3327" width="13.85546875" style="21" customWidth="1"/>
    <col min="3328" max="3328" width="12.28515625" style="21" customWidth="1"/>
    <col min="3329" max="3330" width="9.140625" style="21"/>
    <col min="3331" max="3331" width="19" style="21" customWidth="1"/>
    <col min="3332" max="3571" width="9.140625" style="21"/>
    <col min="3572" max="3572" width="9.140625" style="21" customWidth="1"/>
    <col min="3573" max="3573" width="27.140625" style="21" customWidth="1"/>
    <col min="3574" max="3580" width="9.140625" style="21" customWidth="1"/>
    <col min="3581" max="3581" width="11.140625" style="21" customWidth="1"/>
    <col min="3582" max="3582" width="15" style="21" customWidth="1"/>
    <col min="3583" max="3583" width="13.85546875" style="21" customWidth="1"/>
    <col min="3584" max="3584" width="12.28515625" style="21" customWidth="1"/>
    <col min="3585" max="3586" width="9.140625" style="21"/>
    <col min="3587" max="3587" width="19" style="21" customWidth="1"/>
    <col min="3588" max="3827" width="9.140625" style="21"/>
    <col min="3828" max="3828" width="9.140625" style="21" customWidth="1"/>
    <col min="3829" max="3829" width="27.140625" style="21" customWidth="1"/>
    <col min="3830" max="3836" width="9.140625" style="21" customWidth="1"/>
    <col min="3837" max="3837" width="11.140625" style="21" customWidth="1"/>
    <col min="3838" max="3838" width="15" style="21" customWidth="1"/>
    <col min="3839" max="3839" width="13.85546875" style="21" customWidth="1"/>
    <col min="3840" max="3840" width="12.28515625" style="21" customWidth="1"/>
    <col min="3841" max="3842" width="9.140625" style="21"/>
    <col min="3843" max="3843" width="19" style="21" customWidth="1"/>
    <col min="3844" max="4083" width="9.140625" style="21"/>
    <col min="4084" max="4084" width="9.140625" style="21" customWidth="1"/>
    <col min="4085" max="4085" width="27.140625" style="21" customWidth="1"/>
    <col min="4086" max="4092" width="9.140625" style="21" customWidth="1"/>
    <col min="4093" max="4093" width="11.140625" style="21" customWidth="1"/>
    <col min="4094" max="4094" width="15" style="21" customWidth="1"/>
    <col min="4095" max="4095" width="13.85546875" style="21" customWidth="1"/>
    <col min="4096" max="4096" width="12.28515625" style="21" customWidth="1"/>
    <col min="4097" max="4098" width="9.140625" style="21"/>
    <col min="4099" max="4099" width="19" style="21" customWidth="1"/>
    <col min="4100" max="4339" width="9.140625" style="21"/>
    <col min="4340" max="4340" width="9.140625" style="21" customWidth="1"/>
    <col min="4341" max="4341" width="27.140625" style="21" customWidth="1"/>
    <col min="4342" max="4348" width="9.140625" style="21" customWidth="1"/>
    <col min="4349" max="4349" width="11.140625" style="21" customWidth="1"/>
    <col min="4350" max="4350" width="15" style="21" customWidth="1"/>
    <col min="4351" max="4351" width="13.85546875" style="21" customWidth="1"/>
    <col min="4352" max="4352" width="12.28515625" style="21" customWidth="1"/>
    <col min="4353" max="4354" width="9.140625" style="21"/>
    <col min="4355" max="4355" width="19" style="21" customWidth="1"/>
    <col min="4356" max="4595" width="9.140625" style="21"/>
    <col min="4596" max="4596" width="9.140625" style="21" customWidth="1"/>
    <col min="4597" max="4597" width="27.140625" style="21" customWidth="1"/>
    <col min="4598" max="4604" width="9.140625" style="21" customWidth="1"/>
    <col min="4605" max="4605" width="11.140625" style="21" customWidth="1"/>
    <col min="4606" max="4606" width="15" style="21" customWidth="1"/>
    <col min="4607" max="4607" width="13.85546875" style="21" customWidth="1"/>
    <col min="4608" max="4608" width="12.28515625" style="21" customWidth="1"/>
    <col min="4609" max="4610" width="9.140625" style="21"/>
    <col min="4611" max="4611" width="19" style="21" customWidth="1"/>
    <col min="4612" max="4851" width="9.140625" style="21"/>
    <col min="4852" max="4852" width="9.140625" style="21" customWidth="1"/>
    <col min="4853" max="4853" width="27.140625" style="21" customWidth="1"/>
    <col min="4854" max="4860" width="9.140625" style="21" customWidth="1"/>
    <col min="4861" max="4861" width="11.140625" style="21" customWidth="1"/>
    <col min="4862" max="4862" width="15" style="21" customWidth="1"/>
    <col min="4863" max="4863" width="13.85546875" style="21" customWidth="1"/>
    <col min="4864" max="4864" width="12.28515625" style="21" customWidth="1"/>
    <col min="4865" max="4866" width="9.140625" style="21"/>
    <col min="4867" max="4867" width="19" style="21" customWidth="1"/>
    <col min="4868" max="5107" width="9.140625" style="21"/>
    <col min="5108" max="5108" width="9.140625" style="21" customWidth="1"/>
    <col min="5109" max="5109" width="27.140625" style="21" customWidth="1"/>
    <col min="5110" max="5116" width="9.140625" style="21" customWidth="1"/>
    <col min="5117" max="5117" width="11.140625" style="21" customWidth="1"/>
    <col min="5118" max="5118" width="15" style="21" customWidth="1"/>
    <col min="5119" max="5119" width="13.85546875" style="21" customWidth="1"/>
    <col min="5120" max="5120" width="12.28515625" style="21" customWidth="1"/>
    <col min="5121" max="5122" width="9.140625" style="21"/>
    <col min="5123" max="5123" width="19" style="21" customWidth="1"/>
    <col min="5124" max="5363" width="9.140625" style="21"/>
    <col min="5364" max="5364" width="9.140625" style="21" customWidth="1"/>
    <col min="5365" max="5365" width="27.140625" style="21" customWidth="1"/>
    <col min="5366" max="5372" width="9.140625" style="21" customWidth="1"/>
    <col min="5373" max="5373" width="11.140625" style="21" customWidth="1"/>
    <col min="5374" max="5374" width="15" style="21" customWidth="1"/>
    <col min="5375" max="5375" width="13.85546875" style="21" customWidth="1"/>
    <col min="5376" max="5376" width="12.28515625" style="21" customWidth="1"/>
    <col min="5377" max="5378" width="9.140625" style="21"/>
    <col min="5379" max="5379" width="19" style="21" customWidth="1"/>
    <col min="5380" max="5619" width="9.140625" style="21"/>
    <col min="5620" max="5620" width="9.140625" style="21" customWidth="1"/>
    <col min="5621" max="5621" width="27.140625" style="21" customWidth="1"/>
    <col min="5622" max="5628" width="9.140625" style="21" customWidth="1"/>
    <col min="5629" max="5629" width="11.140625" style="21" customWidth="1"/>
    <col min="5630" max="5630" width="15" style="21" customWidth="1"/>
    <col min="5631" max="5631" width="13.85546875" style="21" customWidth="1"/>
    <col min="5632" max="5632" width="12.28515625" style="21" customWidth="1"/>
    <col min="5633" max="5634" width="9.140625" style="21"/>
    <col min="5635" max="5635" width="19" style="21" customWidth="1"/>
    <col min="5636" max="5875" width="9.140625" style="21"/>
    <col min="5876" max="5876" width="9.140625" style="21" customWidth="1"/>
    <col min="5877" max="5877" width="27.140625" style="21" customWidth="1"/>
    <col min="5878" max="5884" width="9.140625" style="21" customWidth="1"/>
    <col min="5885" max="5885" width="11.140625" style="21" customWidth="1"/>
    <col min="5886" max="5886" width="15" style="21" customWidth="1"/>
    <col min="5887" max="5887" width="13.85546875" style="21" customWidth="1"/>
    <col min="5888" max="5888" width="12.28515625" style="21" customWidth="1"/>
    <col min="5889" max="5890" width="9.140625" style="21"/>
    <col min="5891" max="5891" width="19" style="21" customWidth="1"/>
    <col min="5892" max="6131" width="9.140625" style="21"/>
    <col min="6132" max="6132" width="9.140625" style="21" customWidth="1"/>
    <col min="6133" max="6133" width="27.140625" style="21" customWidth="1"/>
    <col min="6134" max="6140" width="9.140625" style="21" customWidth="1"/>
    <col min="6141" max="6141" width="11.140625" style="21" customWidth="1"/>
    <col min="6142" max="6142" width="15" style="21" customWidth="1"/>
    <col min="6143" max="6143" width="13.85546875" style="21" customWidth="1"/>
    <col min="6144" max="6144" width="12.28515625" style="21" customWidth="1"/>
    <col min="6145" max="6146" width="9.140625" style="21"/>
    <col min="6147" max="6147" width="19" style="21" customWidth="1"/>
    <col min="6148" max="6387" width="9.140625" style="21"/>
    <col min="6388" max="6388" width="9.140625" style="21" customWidth="1"/>
    <col min="6389" max="6389" width="27.140625" style="21" customWidth="1"/>
    <col min="6390" max="6396" width="9.140625" style="21" customWidth="1"/>
    <col min="6397" max="6397" width="11.140625" style="21" customWidth="1"/>
    <col min="6398" max="6398" width="15" style="21" customWidth="1"/>
    <col min="6399" max="6399" width="13.85546875" style="21" customWidth="1"/>
    <col min="6400" max="6400" width="12.28515625" style="21" customWidth="1"/>
    <col min="6401" max="6402" width="9.140625" style="21"/>
    <col min="6403" max="6403" width="19" style="21" customWidth="1"/>
    <col min="6404" max="6643" width="9.140625" style="21"/>
    <col min="6644" max="6644" width="9.140625" style="21" customWidth="1"/>
    <col min="6645" max="6645" width="27.140625" style="21" customWidth="1"/>
    <col min="6646" max="6652" width="9.140625" style="21" customWidth="1"/>
    <col min="6653" max="6653" width="11.140625" style="21" customWidth="1"/>
    <col min="6654" max="6654" width="15" style="21" customWidth="1"/>
    <col min="6655" max="6655" width="13.85546875" style="21" customWidth="1"/>
    <col min="6656" max="6656" width="12.28515625" style="21" customWidth="1"/>
    <col min="6657" max="6658" width="9.140625" style="21"/>
    <col min="6659" max="6659" width="19" style="21" customWidth="1"/>
    <col min="6660" max="6899" width="9.140625" style="21"/>
    <col min="6900" max="6900" width="9.140625" style="21" customWidth="1"/>
    <col min="6901" max="6901" width="27.140625" style="21" customWidth="1"/>
    <col min="6902" max="6908" width="9.140625" style="21" customWidth="1"/>
    <col min="6909" max="6909" width="11.140625" style="21" customWidth="1"/>
    <col min="6910" max="6910" width="15" style="21" customWidth="1"/>
    <col min="6911" max="6911" width="13.85546875" style="21" customWidth="1"/>
    <col min="6912" max="6912" width="12.28515625" style="21" customWidth="1"/>
    <col min="6913" max="6914" width="9.140625" style="21"/>
    <col min="6915" max="6915" width="19" style="21" customWidth="1"/>
    <col min="6916" max="7155" width="9.140625" style="21"/>
    <col min="7156" max="7156" width="9.140625" style="21" customWidth="1"/>
    <col min="7157" max="7157" width="27.140625" style="21" customWidth="1"/>
    <col min="7158" max="7164" width="9.140625" style="21" customWidth="1"/>
    <col min="7165" max="7165" width="11.140625" style="21" customWidth="1"/>
    <col min="7166" max="7166" width="15" style="21" customWidth="1"/>
    <col min="7167" max="7167" width="13.85546875" style="21" customWidth="1"/>
    <col min="7168" max="7168" width="12.28515625" style="21" customWidth="1"/>
    <col min="7169" max="7170" width="9.140625" style="21"/>
    <col min="7171" max="7171" width="19" style="21" customWidth="1"/>
    <col min="7172" max="7411" width="9.140625" style="21"/>
    <col min="7412" max="7412" width="9.140625" style="21" customWidth="1"/>
    <col min="7413" max="7413" width="27.140625" style="21" customWidth="1"/>
    <col min="7414" max="7420" width="9.140625" style="21" customWidth="1"/>
    <col min="7421" max="7421" width="11.140625" style="21" customWidth="1"/>
    <col min="7422" max="7422" width="15" style="21" customWidth="1"/>
    <col min="7423" max="7423" width="13.85546875" style="21" customWidth="1"/>
    <col min="7424" max="7424" width="12.28515625" style="21" customWidth="1"/>
    <col min="7425" max="7426" width="9.140625" style="21"/>
    <col min="7427" max="7427" width="19" style="21" customWidth="1"/>
    <col min="7428" max="7667" width="9.140625" style="21"/>
    <col min="7668" max="7668" width="9.140625" style="21" customWidth="1"/>
    <col min="7669" max="7669" width="27.140625" style="21" customWidth="1"/>
    <col min="7670" max="7676" width="9.140625" style="21" customWidth="1"/>
    <col min="7677" max="7677" width="11.140625" style="21" customWidth="1"/>
    <col min="7678" max="7678" width="15" style="21" customWidth="1"/>
    <col min="7679" max="7679" width="13.85546875" style="21" customWidth="1"/>
    <col min="7680" max="7680" width="12.28515625" style="21" customWidth="1"/>
    <col min="7681" max="7682" width="9.140625" style="21"/>
    <col min="7683" max="7683" width="19" style="21" customWidth="1"/>
    <col min="7684" max="7923" width="9.140625" style="21"/>
    <col min="7924" max="7924" width="9.140625" style="21" customWidth="1"/>
    <col min="7925" max="7925" width="27.140625" style="21" customWidth="1"/>
    <col min="7926" max="7932" width="9.140625" style="21" customWidth="1"/>
    <col min="7933" max="7933" width="11.140625" style="21" customWidth="1"/>
    <col min="7934" max="7934" width="15" style="21" customWidth="1"/>
    <col min="7935" max="7935" width="13.85546875" style="21" customWidth="1"/>
    <col min="7936" max="7936" width="12.28515625" style="21" customWidth="1"/>
    <col min="7937" max="7938" width="9.140625" style="21"/>
    <col min="7939" max="7939" width="19" style="21" customWidth="1"/>
    <col min="7940" max="8179" width="9.140625" style="21"/>
    <col min="8180" max="8180" width="9.140625" style="21" customWidth="1"/>
    <col min="8181" max="8181" width="27.140625" style="21" customWidth="1"/>
    <col min="8182" max="8188" width="9.140625" style="21" customWidth="1"/>
    <col min="8189" max="8189" width="11.140625" style="21" customWidth="1"/>
    <col min="8190" max="8190" width="15" style="21" customWidth="1"/>
    <col min="8191" max="8191" width="13.85546875" style="21" customWidth="1"/>
    <col min="8192" max="8192" width="12.28515625" style="21" customWidth="1"/>
    <col min="8193" max="8194" width="9.140625" style="21"/>
    <col min="8195" max="8195" width="19" style="21" customWidth="1"/>
    <col min="8196" max="8435" width="9.140625" style="21"/>
    <col min="8436" max="8436" width="9.140625" style="21" customWidth="1"/>
    <col min="8437" max="8437" width="27.140625" style="21" customWidth="1"/>
    <col min="8438" max="8444" width="9.140625" style="21" customWidth="1"/>
    <col min="8445" max="8445" width="11.140625" style="21" customWidth="1"/>
    <col min="8446" max="8446" width="15" style="21" customWidth="1"/>
    <col min="8447" max="8447" width="13.85546875" style="21" customWidth="1"/>
    <col min="8448" max="8448" width="12.28515625" style="21" customWidth="1"/>
    <col min="8449" max="8450" width="9.140625" style="21"/>
    <col min="8451" max="8451" width="19" style="21" customWidth="1"/>
    <col min="8452" max="8691" width="9.140625" style="21"/>
    <col min="8692" max="8692" width="9.140625" style="21" customWidth="1"/>
    <col min="8693" max="8693" width="27.140625" style="21" customWidth="1"/>
    <col min="8694" max="8700" width="9.140625" style="21" customWidth="1"/>
    <col min="8701" max="8701" width="11.140625" style="21" customWidth="1"/>
    <col min="8702" max="8702" width="15" style="21" customWidth="1"/>
    <col min="8703" max="8703" width="13.85546875" style="21" customWidth="1"/>
    <col min="8704" max="8704" width="12.28515625" style="21" customWidth="1"/>
    <col min="8705" max="8706" width="9.140625" style="21"/>
    <col min="8707" max="8707" width="19" style="21" customWidth="1"/>
    <col min="8708" max="8947" width="9.140625" style="21"/>
    <col min="8948" max="8948" width="9.140625" style="21" customWidth="1"/>
    <col min="8949" max="8949" width="27.140625" style="21" customWidth="1"/>
    <col min="8950" max="8956" width="9.140625" style="21" customWidth="1"/>
    <col min="8957" max="8957" width="11.140625" style="21" customWidth="1"/>
    <col min="8958" max="8958" width="15" style="21" customWidth="1"/>
    <col min="8959" max="8959" width="13.85546875" style="21" customWidth="1"/>
    <col min="8960" max="8960" width="12.28515625" style="21" customWidth="1"/>
    <col min="8961" max="8962" width="9.140625" style="21"/>
    <col min="8963" max="8963" width="19" style="21" customWidth="1"/>
    <col min="8964" max="9203" width="9.140625" style="21"/>
    <col min="9204" max="9204" width="9.140625" style="21" customWidth="1"/>
    <col min="9205" max="9205" width="27.140625" style="21" customWidth="1"/>
    <col min="9206" max="9212" width="9.140625" style="21" customWidth="1"/>
    <col min="9213" max="9213" width="11.140625" style="21" customWidth="1"/>
    <col min="9214" max="9214" width="15" style="21" customWidth="1"/>
    <col min="9215" max="9215" width="13.85546875" style="21" customWidth="1"/>
    <col min="9216" max="9216" width="12.28515625" style="21" customWidth="1"/>
    <col min="9217" max="9218" width="9.140625" style="21"/>
    <col min="9219" max="9219" width="19" style="21" customWidth="1"/>
    <col min="9220" max="9459" width="9.140625" style="21"/>
    <col min="9460" max="9460" width="9.140625" style="21" customWidth="1"/>
    <col min="9461" max="9461" width="27.140625" style="21" customWidth="1"/>
    <col min="9462" max="9468" width="9.140625" style="21" customWidth="1"/>
    <col min="9469" max="9469" width="11.140625" style="21" customWidth="1"/>
    <col min="9470" max="9470" width="15" style="21" customWidth="1"/>
    <col min="9471" max="9471" width="13.85546875" style="21" customWidth="1"/>
    <col min="9472" max="9472" width="12.28515625" style="21" customWidth="1"/>
    <col min="9473" max="9474" width="9.140625" style="21"/>
    <col min="9475" max="9475" width="19" style="21" customWidth="1"/>
    <col min="9476" max="9715" width="9.140625" style="21"/>
    <col min="9716" max="9716" width="9.140625" style="21" customWidth="1"/>
    <col min="9717" max="9717" width="27.140625" style="21" customWidth="1"/>
    <col min="9718" max="9724" width="9.140625" style="21" customWidth="1"/>
    <col min="9725" max="9725" width="11.140625" style="21" customWidth="1"/>
    <col min="9726" max="9726" width="15" style="21" customWidth="1"/>
    <col min="9727" max="9727" width="13.85546875" style="21" customWidth="1"/>
    <col min="9728" max="9728" width="12.28515625" style="21" customWidth="1"/>
    <col min="9729" max="9730" width="9.140625" style="21"/>
    <col min="9731" max="9731" width="19" style="21" customWidth="1"/>
    <col min="9732" max="9971" width="9.140625" style="21"/>
    <col min="9972" max="9972" width="9.140625" style="21" customWidth="1"/>
    <col min="9973" max="9973" width="27.140625" style="21" customWidth="1"/>
    <col min="9974" max="9980" width="9.140625" style="21" customWidth="1"/>
    <col min="9981" max="9981" width="11.140625" style="21" customWidth="1"/>
    <col min="9982" max="9982" width="15" style="21" customWidth="1"/>
    <col min="9983" max="9983" width="13.85546875" style="21" customWidth="1"/>
    <col min="9984" max="9984" width="12.28515625" style="21" customWidth="1"/>
    <col min="9985" max="9986" width="9.140625" style="21"/>
    <col min="9987" max="9987" width="19" style="21" customWidth="1"/>
    <col min="9988" max="10227" width="9.140625" style="21"/>
    <col min="10228" max="10228" width="9.140625" style="21" customWidth="1"/>
    <col min="10229" max="10229" width="27.140625" style="21" customWidth="1"/>
    <col min="10230" max="10236" width="9.140625" style="21" customWidth="1"/>
    <col min="10237" max="10237" width="11.140625" style="21" customWidth="1"/>
    <col min="10238" max="10238" width="15" style="21" customWidth="1"/>
    <col min="10239" max="10239" width="13.85546875" style="21" customWidth="1"/>
    <col min="10240" max="10240" width="12.28515625" style="21" customWidth="1"/>
    <col min="10241" max="10242" width="9.140625" style="21"/>
    <col min="10243" max="10243" width="19" style="21" customWidth="1"/>
    <col min="10244" max="10483" width="9.140625" style="21"/>
    <col min="10484" max="10484" width="9.140625" style="21" customWidth="1"/>
    <col min="10485" max="10485" width="27.140625" style="21" customWidth="1"/>
    <col min="10486" max="10492" width="9.140625" style="21" customWidth="1"/>
    <col min="10493" max="10493" width="11.140625" style="21" customWidth="1"/>
    <col min="10494" max="10494" width="15" style="21" customWidth="1"/>
    <col min="10495" max="10495" width="13.85546875" style="21" customWidth="1"/>
    <col min="10496" max="10496" width="12.28515625" style="21" customWidth="1"/>
    <col min="10497" max="10498" width="9.140625" style="21"/>
    <col min="10499" max="10499" width="19" style="21" customWidth="1"/>
    <col min="10500" max="10739" width="9.140625" style="21"/>
    <col min="10740" max="10740" width="9.140625" style="21" customWidth="1"/>
    <col min="10741" max="10741" width="27.140625" style="21" customWidth="1"/>
    <col min="10742" max="10748" width="9.140625" style="21" customWidth="1"/>
    <col min="10749" max="10749" width="11.140625" style="21" customWidth="1"/>
    <col min="10750" max="10750" width="15" style="21" customWidth="1"/>
    <col min="10751" max="10751" width="13.85546875" style="21" customWidth="1"/>
    <col min="10752" max="10752" width="12.28515625" style="21" customWidth="1"/>
    <col min="10753" max="10754" width="9.140625" style="21"/>
    <col min="10755" max="10755" width="19" style="21" customWidth="1"/>
    <col min="10756" max="10995" width="9.140625" style="21"/>
    <col min="10996" max="10996" width="9.140625" style="21" customWidth="1"/>
    <col min="10997" max="10997" width="27.140625" style="21" customWidth="1"/>
    <col min="10998" max="11004" width="9.140625" style="21" customWidth="1"/>
    <col min="11005" max="11005" width="11.140625" style="21" customWidth="1"/>
    <col min="11006" max="11006" width="15" style="21" customWidth="1"/>
    <col min="11007" max="11007" width="13.85546875" style="21" customWidth="1"/>
    <col min="11008" max="11008" width="12.28515625" style="21" customWidth="1"/>
    <col min="11009" max="11010" width="9.140625" style="21"/>
    <col min="11011" max="11011" width="19" style="21" customWidth="1"/>
    <col min="11012" max="11251" width="9.140625" style="21"/>
    <col min="11252" max="11252" width="9.140625" style="21" customWidth="1"/>
    <col min="11253" max="11253" width="27.140625" style="21" customWidth="1"/>
    <col min="11254" max="11260" width="9.140625" style="21" customWidth="1"/>
    <col min="11261" max="11261" width="11.140625" style="21" customWidth="1"/>
    <col min="11262" max="11262" width="15" style="21" customWidth="1"/>
    <col min="11263" max="11263" width="13.85546875" style="21" customWidth="1"/>
    <col min="11264" max="11264" width="12.28515625" style="21" customWidth="1"/>
    <col min="11265" max="11266" width="9.140625" style="21"/>
    <col min="11267" max="11267" width="19" style="21" customWidth="1"/>
    <col min="11268" max="11507" width="9.140625" style="21"/>
    <col min="11508" max="11508" width="9.140625" style="21" customWidth="1"/>
    <col min="11509" max="11509" width="27.140625" style="21" customWidth="1"/>
    <col min="11510" max="11516" width="9.140625" style="21" customWidth="1"/>
    <col min="11517" max="11517" width="11.140625" style="21" customWidth="1"/>
    <col min="11518" max="11518" width="15" style="21" customWidth="1"/>
    <col min="11519" max="11519" width="13.85546875" style="21" customWidth="1"/>
    <col min="11520" max="11520" width="12.28515625" style="21" customWidth="1"/>
    <col min="11521" max="11522" width="9.140625" style="21"/>
    <col min="11523" max="11523" width="19" style="21" customWidth="1"/>
    <col min="11524" max="11763" width="9.140625" style="21"/>
    <col min="11764" max="11764" width="9.140625" style="21" customWidth="1"/>
    <col min="11765" max="11765" width="27.140625" style="21" customWidth="1"/>
    <col min="11766" max="11772" width="9.140625" style="21" customWidth="1"/>
    <col min="11773" max="11773" width="11.140625" style="21" customWidth="1"/>
    <col min="11774" max="11774" width="15" style="21" customWidth="1"/>
    <col min="11775" max="11775" width="13.85546875" style="21" customWidth="1"/>
    <col min="11776" max="11776" width="12.28515625" style="21" customWidth="1"/>
    <col min="11777" max="11778" width="9.140625" style="21"/>
    <col min="11779" max="11779" width="19" style="21" customWidth="1"/>
    <col min="11780" max="12019" width="9.140625" style="21"/>
    <col min="12020" max="12020" width="9.140625" style="21" customWidth="1"/>
    <col min="12021" max="12021" width="27.140625" style="21" customWidth="1"/>
    <col min="12022" max="12028" width="9.140625" style="21" customWidth="1"/>
    <col min="12029" max="12029" width="11.140625" style="21" customWidth="1"/>
    <col min="12030" max="12030" width="15" style="21" customWidth="1"/>
    <col min="12031" max="12031" width="13.85546875" style="21" customWidth="1"/>
    <col min="12032" max="12032" width="12.28515625" style="21" customWidth="1"/>
    <col min="12033" max="12034" width="9.140625" style="21"/>
    <col min="12035" max="12035" width="19" style="21" customWidth="1"/>
    <col min="12036" max="12275" width="9.140625" style="21"/>
    <col min="12276" max="12276" width="9.140625" style="21" customWidth="1"/>
    <col min="12277" max="12277" width="27.140625" style="21" customWidth="1"/>
    <col min="12278" max="12284" width="9.140625" style="21" customWidth="1"/>
    <col min="12285" max="12285" width="11.140625" style="21" customWidth="1"/>
    <col min="12286" max="12286" width="15" style="21" customWidth="1"/>
    <col min="12287" max="12287" width="13.85546875" style="21" customWidth="1"/>
    <col min="12288" max="12288" width="12.28515625" style="21" customWidth="1"/>
    <col min="12289" max="12290" width="9.140625" style="21"/>
    <col min="12291" max="12291" width="19" style="21" customWidth="1"/>
    <col min="12292" max="12531" width="9.140625" style="21"/>
    <col min="12532" max="12532" width="9.140625" style="21" customWidth="1"/>
    <col min="12533" max="12533" width="27.140625" style="21" customWidth="1"/>
    <col min="12534" max="12540" width="9.140625" style="21" customWidth="1"/>
    <col min="12541" max="12541" width="11.140625" style="21" customWidth="1"/>
    <col min="12542" max="12542" width="15" style="21" customWidth="1"/>
    <col min="12543" max="12543" width="13.85546875" style="21" customWidth="1"/>
    <col min="12544" max="12544" width="12.28515625" style="21" customWidth="1"/>
    <col min="12545" max="12546" width="9.140625" style="21"/>
    <col min="12547" max="12547" width="19" style="21" customWidth="1"/>
    <col min="12548" max="12787" width="9.140625" style="21"/>
    <col min="12788" max="12788" width="9.140625" style="21" customWidth="1"/>
    <col min="12789" max="12789" width="27.140625" style="21" customWidth="1"/>
    <col min="12790" max="12796" width="9.140625" style="21" customWidth="1"/>
    <col min="12797" max="12797" width="11.140625" style="21" customWidth="1"/>
    <col min="12798" max="12798" width="15" style="21" customWidth="1"/>
    <col min="12799" max="12799" width="13.85546875" style="21" customWidth="1"/>
    <col min="12800" max="12800" width="12.28515625" style="21" customWidth="1"/>
    <col min="12801" max="12802" width="9.140625" style="21"/>
    <col min="12803" max="12803" width="19" style="21" customWidth="1"/>
    <col min="12804" max="13043" width="9.140625" style="21"/>
    <col min="13044" max="13044" width="9.140625" style="21" customWidth="1"/>
    <col min="13045" max="13045" width="27.140625" style="21" customWidth="1"/>
    <col min="13046" max="13052" width="9.140625" style="21" customWidth="1"/>
    <col min="13053" max="13053" width="11.140625" style="21" customWidth="1"/>
    <col min="13054" max="13054" width="15" style="21" customWidth="1"/>
    <col min="13055" max="13055" width="13.85546875" style="21" customWidth="1"/>
    <col min="13056" max="13056" width="12.28515625" style="21" customWidth="1"/>
    <col min="13057" max="13058" width="9.140625" style="21"/>
    <col min="13059" max="13059" width="19" style="21" customWidth="1"/>
    <col min="13060" max="13299" width="9.140625" style="21"/>
    <col min="13300" max="13300" width="9.140625" style="21" customWidth="1"/>
    <col min="13301" max="13301" width="27.140625" style="21" customWidth="1"/>
    <col min="13302" max="13308" width="9.140625" style="21" customWidth="1"/>
    <col min="13309" max="13309" width="11.140625" style="21" customWidth="1"/>
    <col min="13310" max="13310" width="15" style="21" customWidth="1"/>
    <col min="13311" max="13311" width="13.85546875" style="21" customWidth="1"/>
    <col min="13312" max="13312" width="12.28515625" style="21" customWidth="1"/>
    <col min="13313" max="13314" width="9.140625" style="21"/>
    <col min="13315" max="13315" width="19" style="21" customWidth="1"/>
    <col min="13316" max="13555" width="9.140625" style="21"/>
    <col min="13556" max="13556" width="9.140625" style="21" customWidth="1"/>
    <col min="13557" max="13557" width="27.140625" style="21" customWidth="1"/>
    <col min="13558" max="13564" width="9.140625" style="21" customWidth="1"/>
    <col min="13565" max="13565" width="11.140625" style="21" customWidth="1"/>
    <col min="13566" max="13566" width="15" style="21" customWidth="1"/>
    <col min="13567" max="13567" width="13.85546875" style="21" customWidth="1"/>
    <col min="13568" max="13568" width="12.28515625" style="21" customWidth="1"/>
    <col min="13569" max="13570" width="9.140625" style="21"/>
    <col min="13571" max="13571" width="19" style="21" customWidth="1"/>
    <col min="13572" max="13811" width="9.140625" style="21"/>
    <col min="13812" max="13812" width="9.140625" style="21" customWidth="1"/>
    <col min="13813" max="13813" width="27.140625" style="21" customWidth="1"/>
    <col min="13814" max="13820" width="9.140625" style="21" customWidth="1"/>
    <col min="13821" max="13821" width="11.140625" style="21" customWidth="1"/>
    <col min="13822" max="13822" width="15" style="21" customWidth="1"/>
    <col min="13823" max="13823" width="13.85546875" style="21" customWidth="1"/>
    <col min="13824" max="13824" width="12.28515625" style="21" customWidth="1"/>
    <col min="13825" max="13826" width="9.140625" style="21"/>
    <col min="13827" max="13827" width="19" style="21" customWidth="1"/>
    <col min="13828" max="14067" width="9.140625" style="21"/>
    <col min="14068" max="14068" width="9.140625" style="21" customWidth="1"/>
    <col min="14069" max="14069" width="27.140625" style="21" customWidth="1"/>
    <col min="14070" max="14076" width="9.140625" style="21" customWidth="1"/>
    <col min="14077" max="14077" width="11.140625" style="21" customWidth="1"/>
    <col min="14078" max="14078" width="15" style="21" customWidth="1"/>
    <col min="14079" max="14079" width="13.85546875" style="21" customWidth="1"/>
    <col min="14080" max="14080" width="12.28515625" style="21" customWidth="1"/>
    <col min="14081" max="14082" width="9.140625" style="21"/>
    <col min="14083" max="14083" width="19" style="21" customWidth="1"/>
    <col min="14084" max="14323" width="9.140625" style="21"/>
    <col min="14324" max="14324" width="9.140625" style="21" customWidth="1"/>
    <col min="14325" max="14325" width="27.140625" style="21" customWidth="1"/>
    <col min="14326" max="14332" width="9.140625" style="21" customWidth="1"/>
    <col min="14333" max="14333" width="11.140625" style="21" customWidth="1"/>
    <col min="14334" max="14334" width="15" style="21" customWidth="1"/>
    <col min="14335" max="14335" width="13.85546875" style="21" customWidth="1"/>
    <col min="14336" max="14336" width="12.28515625" style="21" customWidth="1"/>
    <col min="14337" max="14338" width="9.140625" style="21"/>
    <col min="14339" max="14339" width="19" style="21" customWidth="1"/>
    <col min="14340" max="14579" width="9.140625" style="21"/>
    <col min="14580" max="14580" width="9.140625" style="21" customWidth="1"/>
    <col min="14581" max="14581" width="27.140625" style="21" customWidth="1"/>
    <col min="14582" max="14588" width="9.140625" style="21" customWidth="1"/>
    <col min="14589" max="14589" width="11.140625" style="21" customWidth="1"/>
    <col min="14590" max="14590" width="15" style="21" customWidth="1"/>
    <col min="14591" max="14591" width="13.85546875" style="21" customWidth="1"/>
    <col min="14592" max="14592" width="12.28515625" style="21" customWidth="1"/>
    <col min="14593" max="14594" width="9.140625" style="21"/>
    <col min="14595" max="14595" width="19" style="21" customWidth="1"/>
    <col min="14596" max="14835" width="9.140625" style="21"/>
    <col min="14836" max="14836" width="9.140625" style="21" customWidth="1"/>
    <col min="14837" max="14837" width="27.140625" style="21" customWidth="1"/>
    <col min="14838" max="14844" width="9.140625" style="21" customWidth="1"/>
    <col min="14845" max="14845" width="11.140625" style="21" customWidth="1"/>
    <col min="14846" max="14846" width="15" style="21" customWidth="1"/>
    <col min="14847" max="14847" width="13.85546875" style="21" customWidth="1"/>
    <col min="14848" max="14848" width="12.28515625" style="21" customWidth="1"/>
    <col min="14849" max="14850" width="9.140625" style="21"/>
    <col min="14851" max="14851" width="19" style="21" customWidth="1"/>
    <col min="14852" max="15091" width="9.140625" style="21"/>
    <col min="15092" max="15092" width="9.140625" style="21" customWidth="1"/>
    <col min="15093" max="15093" width="27.140625" style="21" customWidth="1"/>
    <col min="15094" max="15100" width="9.140625" style="21" customWidth="1"/>
    <col min="15101" max="15101" width="11.140625" style="21" customWidth="1"/>
    <col min="15102" max="15102" width="15" style="21" customWidth="1"/>
    <col min="15103" max="15103" width="13.85546875" style="21" customWidth="1"/>
    <col min="15104" max="15104" width="12.28515625" style="21" customWidth="1"/>
    <col min="15105" max="15106" width="9.140625" style="21"/>
    <col min="15107" max="15107" width="19" style="21" customWidth="1"/>
    <col min="15108" max="15347" width="9.140625" style="21"/>
    <col min="15348" max="15348" width="9.140625" style="21" customWidth="1"/>
    <col min="15349" max="15349" width="27.140625" style="21" customWidth="1"/>
    <col min="15350" max="15356" width="9.140625" style="21" customWidth="1"/>
    <col min="15357" max="15357" width="11.140625" style="21" customWidth="1"/>
    <col min="15358" max="15358" width="15" style="21" customWidth="1"/>
    <col min="15359" max="15359" width="13.85546875" style="21" customWidth="1"/>
    <col min="15360" max="15360" width="12.28515625" style="21" customWidth="1"/>
    <col min="15361" max="15362" width="9.140625" style="21"/>
    <col min="15363" max="15363" width="19" style="21" customWidth="1"/>
    <col min="15364" max="15603" width="9.140625" style="21"/>
    <col min="15604" max="15604" width="9.140625" style="21" customWidth="1"/>
    <col min="15605" max="15605" width="27.140625" style="21" customWidth="1"/>
    <col min="15606" max="15612" width="9.140625" style="21" customWidth="1"/>
    <col min="15613" max="15613" width="11.140625" style="21" customWidth="1"/>
    <col min="15614" max="15614" width="15" style="21" customWidth="1"/>
    <col min="15615" max="15615" width="13.85546875" style="21" customWidth="1"/>
    <col min="15616" max="15616" width="12.28515625" style="21" customWidth="1"/>
    <col min="15617" max="15618" width="9.140625" style="21"/>
    <col min="15619" max="15619" width="19" style="21" customWidth="1"/>
    <col min="15620" max="15859" width="9.140625" style="21"/>
    <col min="15860" max="15860" width="9.140625" style="21" customWidth="1"/>
    <col min="15861" max="15861" width="27.140625" style="21" customWidth="1"/>
    <col min="15862" max="15868" width="9.140625" style="21" customWidth="1"/>
    <col min="15869" max="15869" width="11.140625" style="21" customWidth="1"/>
    <col min="15870" max="15870" width="15" style="21" customWidth="1"/>
    <col min="15871" max="15871" width="13.85546875" style="21" customWidth="1"/>
    <col min="15872" max="15872" width="12.28515625" style="21" customWidth="1"/>
    <col min="15873" max="15874" width="9.140625" style="21"/>
    <col min="15875" max="15875" width="19" style="21" customWidth="1"/>
    <col min="15876" max="16115" width="9.140625" style="21"/>
    <col min="16116" max="16116" width="9.140625" style="21" customWidth="1"/>
    <col min="16117" max="16117" width="27.140625" style="21" customWidth="1"/>
    <col min="16118" max="16124" width="9.140625" style="21" customWidth="1"/>
    <col min="16125" max="16125" width="11.140625" style="21" customWidth="1"/>
    <col min="16126" max="16126" width="15" style="21" customWidth="1"/>
    <col min="16127" max="16127" width="13.85546875" style="21" customWidth="1"/>
    <col min="16128" max="16128" width="12.28515625" style="21" customWidth="1"/>
    <col min="16129" max="16130" width="9.140625" style="21"/>
    <col min="16131" max="16131" width="19" style="21" customWidth="1"/>
    <col min="16132" max="16384" width="9.140625" style="21"/>
  </cols>
  <sheetData>
    <row r="2" spans="1:6" ht="21" customHeight="1">
      <c r="A2" s="15" t="s">
        <v>547</v>
      </c>
    </row>
    <row r="3" spans="1:6" ht="21" customHeight="1">
      <c r="A3" s="15"/>
    </row>
    <row r="4" spans="1:6" ht="21" customHeight="1">
      <c r="A4" s="15"/>
      <c r="B4" s="183" t="s">
        <v>336</v>
      </c>
    </row>
    <row r="5" spans="1:6" ht="57.75" customHeight="1">
      <c r="A5" s="115" t="s">
        <v>422</v>
      </c>
      <c r="B5" s="179" t="s">
        <v>478</v>
      </c>
      <c r="C5" s="179" t="s">
        <v>489</v>
      </c>
    </row>
    <row r="6" spans="1:6" ht="18">
      <c r="A6" s="22" t="s">
        <v>447</v>
      </c>
      <c r="B6" s="168">
        <f>SUM(B7:B19)</f>
        <v>40615000</v>
      </c>
      <c r="C6" s="168">
        <f>SUM(C7:C19)</f>
        <v>10955335.869999999</v>
      </c>
      <c r="F6" s="182"/>
    </row>
    <row r="7" spans="1:6" ht="12.75">
      <c r="A7" s="18" t="s">
        <v>25</v>
      </c>
      <c r="B7" s="23">
        <f>'Příjmy 2015 - podrobně'!D7</f>
        <v>8000000</v>
      </c>
      <c r="C7" s="23">
        <f>'Příjmy 2015 - podrobně'!AF7</f>
        <v>2256899.85</v>
      </c>
    </row>
    <row r="8" spans="1:6" ht="12.75">
      <c r="A8" s="20" t="s">
        <v>26</v>
      </c>
      <c r="B8" s="23">
        <f>'Příjmy 2015 - podrobně'!D8</f>
        <v>370000</v>
      </c>
      <c r="C8" s="23">
        <f>'Příjmy 2015 - podrobně'!AF8</f>
        <v>14803.15</v>
      </c>
    </row>
    <row r="9" spans="1:6" ht="12.75">
      <c r="A9" s="20" t="s">
        <v>27</v>
      </c>
      <c r="B9" s="23">
        <f>'Příjmy 2015 - podrobně'!D9</f>
        <v>1000000</v>
      </c>
      <c r="C9" s="23">
        <f>'Příjmy 2015 - podrobně'!AF9</f>
        <v>268643.71999999997</v>
      </c>
    </row>
    <row r="10" spans="1:6" ht="12.75">
      <c r="A10" s="20" t="s">
        <v>28</v>
      </c>
      <c r="B10" s="23">
        <f>'Příjmy 2015 - podrobně'!D10</f>
        <v>8000000</v>
      </c>
      <c r="C10" s="23">
        <f>'Příjmy 2015 - podrobně'!AF10</f>
        <v>1203311.79</v>
      </c>
    </row>
    <row r="11" spans="1:6" ht="12.75">
      <c r="A11" s="20" t="s">
        <v>29</v>
      </c>
      <c r="B11" s="23">
        <f>'Příjmy 2015 - podrobně'!D11</f>
        <v>0</v>
      </c>
      <c r="C11" s="23">
        <f>'Příjmy 2015 - podrobně'!AF11</f>
        <v>0</v>
      </c>
    </row>
    <row r="12" spans="1:6" ht="12.75">
      <c r="A12" s="20" t="s">
        <v>30</v>
      </c>
      <c r="B12" s="23">
        <f>'Příjmy 2015 - podrobně'!D12</f>
        <v>17000000</v>
      </c>
      <c r="C12" s="23">
        <f>'Příjmy 2015 - podrobně'!AF12</f>
        <v>4369083.43</v>
      </c>
    </row>
    <row r="13" spans="1:6" ht="12.75">
      <c r="A13" s="20" t="s">
        <v>31</v>
      </c>
      <c r="B13" s="23">
        <f>'Příjmy 2015 - podrobně'!D13</f>
        <v>2000000</v>
      </c>
      <c r="C13" s="23">
        <f>'Příjmy 2015 - podrobně'!AF13</f>
        <v>1875776</v>
      </c>
    </row>
    <row r="14" spans="1:6" ht="12.75">
      <c r="A14" s="20" t="s">
        <v>32</v>
      </c>
      <c r="B14" s="23">
        <f>'Příjmy 2015 - podrobně'!D14</f>
        <v>95000</v>
      </c>
      <c r="C14" s="23">
        <f>'Příjmy 2015 - podrobně'!AF14</f>
        <v>95238</v>
      </c>
    </row>
    <row r="15" spans="1:6" ht="12.75">
      <c r="A15" s="20" t="s">
        <v>33</v>
      </c>
      <c r="B15" s="23">
        <f>'Příjmy 2015 - podrobně'!D15</f>
        <v>200000</v>
      </c>
      <c r="C15" s="23">
        <f>'Příjmy 2015 - podrobně'!AF15</f>
        <v>3890</v>
      </c>
    </row>
    <row r="16" spans="1:6" ht="12.75">
      <c r="A16" s="20" t="s">
        <v>34</v>
      </c>
      <c r="B16" s="23">
        <f>'Příjmy 2015 - podrobně'!D16</f>
        <v>200000</v>
      </c>
      <c r="C16" s="23">
        <f>'Příjmy 2015 - podrobně'!AF16</f>
        <v>141540.62</v>
      </c>
    </row>
    <row r="17" spans="1:3" ht="12.75">
      <c r="A17" s="20" t="s">
        <v>35</v>
      </c>
      <c r="B17" s="23">
        <f>'Příjmy 2015 - podrobně'!D19</f>
        <v>2000000</v>
      </c>
      <c r="C17" s="23">
        <f>'Příjmy 2015 - podrobně'!AF19</f>
        <v>579460</v>
      </c>
    </row>
    <row r="18" spans="1:3" ht="12.75">
      <c r="A18" s="64" t="s">
        <v>446</v>
      </c>
      <c r="B18" s="23">
        <f>'Příjmy 2015 - podrobně'!D20</f>
        <v>1500000</v>
      </c>
      <c r="C18" s="23">
        <f>'Příjmy 2015 - podrobně'!AF20</f>
        <v>72171.31</v>
      </c>
    </row>
    <row r="19" spans="1:3" ht="12.75">
      <c r="A19" s="20" t="s">
        <v>36</v>
      </c>
      <c r="B19" s="23">
        <f>'Příjmy 2015 - podrobně'!D21</f>
        <v>250000</v>
      </c>
      <c r="C19" s="23">
        <f>'Příjmy 2015 - podrobně'!AF21</f>
        <v>74518</v>
      </c>
    </row>
    <row r="20" spans="1:3" ht="18">
      <c r="A20" s="24" t="s">
        <v>37</v>
      </c>
      <c r="B20" s="169">
        <f>SUM(B21:B30)</f>
        <v>34392000</v>
      </c>
      <c r="C20" s="169">
        <f>SUM(C21:C30)</f>
        <v>7675341.9800000004</v>
      </c>
    </row>
    <row r="21" spans="1:3" ht="12.75">
      <c r="A21" s="20" t="s">
        <v>41</v>
      </c>
      <c r="B21" s="25">
        <f>'Příjmy 2015 - podrobně'!D28</f>
        <v>6000000</v>
      </c>
      <c r="C21" s="25">
        <f>'Příjmy 2015 - podrobně'!AF28</f>
        <v>85484.67</v>
      </c>
    </row>
    <row r="22" spans="1:3" ht="12.75">
      <c r="A22" s="20" t="s">
        <v>42</v>
      </c>
      <c r="B22" s="25">
        <f>'Příjmy 2015 - podrobně'!D29</f>
        <v>30000</v>
      </c>
      <c r="C22" s="25">
        <f>'Příjmy 2015 - podrobně'!AF29</f>
        <v>8080</v>
      </c>
    </row>
    <row r="23" spans="1:3" ht="12.75">
      <c r="A23" s="20" t="s">
        <v>43</v>
      </c>
      <c r="B23" s="25">
        <f>'Příjmy 2015 - podrobně'!D30</f>
        <v>700000</v>
      </c>
      <c r="C23" s="25">
        <f>'Příjmy 2015 - podrobně'!AF30</f>
        <v>127105.56</v>
      </c>
    </row>
    <row r="24" spans="1:3" ht="12.75">
      <c r="A24" s="20" t="s">
        <v>40</v>
      </c>
      <c r="B24" s="25">
        <f>'Příjmy 2015 - podrobně'!D33</f>
        <v>12000000</v>
      </c>
      <c r="C24" s="25">
        <f>'Příjmy 2015 - podrobně'!AF33</f>
        <v>3313063</v>
      </c>
    </row>
    <row r="25" spans="1:3" ht="12.75">
      <c r="A25" s="20" t="s">
        <v>44</v>
      </c>
      <c r="B25" s="25">
        <f>'Příjmy 2015 - podrobně'!D34</f>
        <v>200000</v>
      </c>
      <c r="C25" s="25">
        <f>'Příjmy 2015 - podrobně'!AF34</f>
        <v>69369</v>
      </c>
    </row>
    <row r="26" spans="1:3" ht="12.75">
      <c r="A26" s="20" t="s">
        <v>45</v>
      </c>
      <c r="B26" s="25">
        <f>'Příjmy 2015 - podrobně'!D35</f>
        <v>100000</v>
      </c>
      <c r="C26" s="25">
        <f>'Příjmy 2015 - podrobně'!AF35</f>
        <v>25448</v>
      </c>
    </row>
    <row r="27" spans="1:3" ht="12.75">
      <c r="A27" s="20" t="s">
        <v>38</v>
      </c>
      <c r="B27" s="25">
        <f>'Příjmy 2015 - podrobně'!D36</f>
        <v>200000</v>
      </c>
      <c r="C27" s="25">
        <f>'Příjmy 2015 - podrobně'!AF36</f>
        <v>61643</v>
      </c>
    </row>
    <row r="28" spans="1:3" ht="12.75">
      <c r="A28" s="20" t="s">
        <v>39</v>
      </c>
      <c r="B28" s="25">
        <f>'Příjmy 2015 - podrobně'!D37</f>
        <v>1600000</v>
      </c>
      <c r="C28" s="25">
        <f>'Příjmy 2015 - podrobně'!AF37</f>
        <v>363177.5</v>
      </c>
    </row>
    <row r="29" spans="1:3" ht="12.75">
      <c r="A29" s="64" t="s">
        <v>79</v>
      </c>
      <c r="B29" s="25">
        <f>'Příjmy 2015 - podrobně'!D38</f>
        <v>50000</v>
      </c>
      <c r="C29" s="25">
        <f>'Příjmy 2015 - podrobně'!AF38</f>
        <v>10785.48</v>
      </c>
    </row>
    <row r="30" spans="1:3" ht="12.75">
      <c r="A30" s="20" t="s">
        <v>46</v>
      </c>
      <c r="B30" s="25">
        <f>'Příjmy 2015 - podrobně'!D41</f>
        <v>13512000</v>
      </c>
      <c r="C30" s="25">
        <f>'Příjmy 2015 - podrobně'!AF41</f>
        <v>3611185.77</v>
      </c>
    </row>
    <row r="31" spans="1:3" ht="15">
      <c r="A31" s="26" t="s">
        <v>47</v>
      </c>
      <c r="B31" s="16">
        <f>B6+B20</f>
        <v>75007000</v>
      </c>
      <c r="C31" s="16">
        <f>C6+C20</f>
        <v>18630677.850000001</v>
      </c>
    </row>
    <row r="32" spans="1:3" ht="18">
      <c r="A32" s="118" t="s">
        <v>48</v>
      </c>
      <c r="B32" s="170">
        <f>SUM(B33:B42)</f>
        <v>11638500</v>
      </c>
      <c r="C32" s="170">
        <f>SUM(C33:C42)</f>
        <v>4248616.21</v>
      </c>
    </row>
    <row r="33" spans="1:3" ht="15" hidden="1" customHeight="1">
      <c r="A33" s="64" t="s">
        <v>127</v>
      </c>
      <c r="B33" s="27"/>
    </row>
    <row r="34" spans="1:3" ht="14.25" customHeight="1">
      <c r="A34" s="64" t="s">
        <v>128</v>
      </c>
      <c r="B34" s="27">
        <f>'Příjmy 2015 - podrobně'!D77</f>
        <v>11240500</v>
      </c>
      <c r="C34" s="27">
        <f>'Příjmy 2015 - podrobně'!AF77</f>
        <v>2809374</v>
      </c>
    </row>
    <row r="35" spans="1:3" ht="12.75" customHeight="1">
      <c r="A35" s="64" t="s">
        <v>129</v>
      </c>
      <c r="B35" s="27">
        <f>'Příjmy 2015 - podrobně'!D78</f>
        <v>368000</v>
      </c>
      <c r="C35" s="27">
        <f>'Příjmy 2015 - podrobně'!AF78</f>
        <v>651432.80000000005</v>
      </c>
    </row>
    <row r="36" spans="1:3" ht="13.5" customHeight="1">
      <c r="A36" s="64" t="s">
        <v>130</v>
      </c>
      <c r="B36" s="27">
        <f>'Příjmy 2015 - podrobně'!D79</f>
        <v>30000</v>
      </c>
      <c r="C36" s="27">
        <f>'Příjmy 2015 - podrobně'!AF79</f>
        <v>9837.41</v>
      </c>
    </row>
    <row r="37" spans="1:3" ht="12.75">
      <c r="A37" s="64" t="s">
        <v>131</v>
      </c>
      <c r="B37" s="27">
        <f>'Příjmy 2015 - podrobně'!D80</f>
        <v>0</v>
      </c>
      <c r="C37" s="27">
        <f>'Příjmy 2015 - podrobně'!AF80</f>
        <v>428572</v>
      </c>
    </row>
    <row r="38" spans="1:3" ht="12.75" hidden="1">
      <c r="A38" s="64" t="s">
        <v>132</v>
      </c>
      <c r="B38" s="27">
        <f>'Příjmy 2015 - podrobně'!D81</f>
        <v>0</v>
      </c>
    </row>
    <row r="39" spans="1:3" ht="12.75">
      <c r="A39" s="64" t="s">
        <v>133</v>
      </c>
      <c r="B39" s="27">
        <f>'Příjmy 2015 - podrobně'!D82</f>
        <v>0</v>
      </c>
      <c r="C39" s="27">
        <f>'Příjmy 2015 - podrobně'!AF82</f>
        <v>349400</v>
      </c>
    </row>
    <row r="40" spans="1:3" ht="12.75" hidden="1">
      <c r="A40" s="64" t="s">
        <v>134</v>
      </c>
      <c r="B40" s="27">
        <f>'Příjmy 2015 - podrobně'!D83</f>
        <v>0</v>
      </c>
    </row>
    <row r="41" spans="1:3" ht="12.75" hidden="1">
      <c r="A41" s="64" t="s">
        <v>135</v>
      </c>
      <c r="B41" s="27">
        <f>'Příjmy 2015 - podrobně'!D84</f>
        <v>0</v>
      </c>
    </row>
    <row r="42" spans="1:3" ht="12.75" hidden="1">
      <c r="A42" s="64" t="s">
        <v>136</v>
      </c>
      <c r="B42" s="27">
        <f>'Příjmy 2015 - podrobně'!D85</f>
        <v>0</v>
      </c>
    </row>
    <row r="43" spans="1:3" ht="12.75">
      <c r="A43" s="20" t="s">
        <v>23</v>
      </c>
      <c r="B43" s="202">
        <f>'Příjmy 2015 - podrobně'!D89</f>
        <v>0</v>
      </c>
      <c r="C43" s="202">
        <f>'Příjmy 2015 - podrobně'!AF89</f>
        <v>37697027.240000002</v>
      </c>
    </row>
    <row r="44" spans="1:3" ht="12.75">
      <c r="A44" s="260" t="s">
        <v>50</v>
      </c>
      <c r="B44" s="17">
        <f>'Příjmy 2015 - podrobně'!D90</f>
        <v>600000</v>
      </c>
      <c r="C44" s="17">
        <f>'Příjmy 2015 - podrobně'!E90</f>
        <v>0</v>
      </c>
    </row>
    <row r="45" spans="1:3" ht="23.25">
      <c r="A45" s="117" t="s">
        <v>49</v>
      </c>
      <c r="B45" s="116">
        <f>B31+B32+B44</f>
        <v>87245500</v>
      </c>
      <c r="C45" s="116">
        <f>C31+C32+C44+C43</f>
        <v>60576321.300000004</v>
      </c>
    </row>
    <row r="46" spans="1:3" ht="23.25">
      <c r="A46" s="113"/>
      <c r="B46" s="114"/>
    </row>
    <row r="47" spans="1:3" ht="23.25">
      <c r="A47" s="113"/>
      <c r="B47" s="114"/>
    </row>
    <row r="48" spans="1:3" ht="23.25" hidden="1">
      <c r="A48" s="113"/>
      <c r="B48" s="114"/>
    </row>
    <row r="49" spans="1:2" ht="12.75" hidden="1"/>
    <row r="50" spans="1:2" ht="12.75" hidden="1">
      <c r="A50" s="78" t="s">
        <v>448</v>
      </c>
    </row>
    <row r="51" spans="1:2" ht="12.75" hidden="1"/>
    <row r="52" spans="1:2" ht="12.75" hidden="1"/>
    <row r="53" spans="1:2" ht="12.75" hidden="1"/>
    <row r="54" spans="1:2" ht="12.75" hidden="1">
      <c r="B54" s="28" t="s">
        <v>451</v>
      </c>
    </row>
    <row r="55" spans="1:2" ht="12.75" hidden="1">
      <c r="B55" s="78" t="s">
        <v>450</v>
      </c>
    </row>
    <row r="56" spans="1:2" ht="12.75" hidden="1"/>
    <row r="57" spans="1:2" ht="12.75" hidden="1"/>
    <row r="58" spans="1:2" ht="12.75" hidden="1"/>
    <row r="59" spans="1:2" ht="12.75" hidden="1"/>
    <row r="60" spans="1:2" ht="22.5" customHeight="1"/>
    <row r="61" spans="1:2" ht="12.75"/>
    <row r="62" spans="1:2" ht="12.75"/>
    <row r="63" spans="1:2" ht="12.75"/>
  </sheetData>
  <sheetProtection password="CC33" sheet="1" objects="1" scenario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98"/>
  <sheetViews>
    <sheetView topLeftCell="B1" zoomScaleNormal="100" workbookViewId="0">
      <selection activeCell="AF78" sqref="AF78"/>
    </sheetView>
  </sheetViews>
  <sheetFormatPr defaultRowHeight="14.25"/>
  <cols>
    <col min="1" max="2" width="9.140625" style="126"/>
    <col min="3" max="3" width="53.42578125" style="126" customWidth="1"/>
    <col min="4" max="4" width="21.85546875" style="162" customWidth="1"/>
    <col min="5" max="16" width="11.140625" style="163" hidden="1" customWidth="1"/>
    <col min="17" max="17" width="21.7109375" style="163" customWidth="1"/>
    <col min="18" max="18" width="1.7109375" style="164" customWidth="1"/>
    <col min="19" max="19" width="14.7109375" style="162" customWidth="1"/>
    <col min="20" max="21" width="14.7109375" style="126" customWidth="1"/>
    <col min="22" max="30" width="14.7109375" style="126" hidden="1" customWidth="1"/>
    <col min="31" max="31" width="1.7109375" style="127" customWidth="1"/>
    <col min="32" max="32" width="17" style="163" customWidth="1"/>
    <col min="33" max="33" width="13" style="126" hidden="1" customWidth="1"/>
    <col min="34" max="34" width="13.42578125" style="126" hidden="1" customWidth="1"/>
    <col min="35" max="16384" width="9.140625" style="126"/>
  </cols>
  <sheetData>
    <row r="1" spans="1:34" ht="15" customHeight="1">
      <c r="A1" s="261" t="str">
        <f>'Příjmy 2015 shrnutí'!A2</f>
        <v>Plnění rozpočtu leden - březen 2015</v>
      </c>
      <c r="B1" s="262"/>
      <c r="C1" s="263"/>
      <c r="D1" s="125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/>
    </row>
    <row r="2" spans="1:34" ht="15" customHeight="1">
      <c r="A2" s="262"/>
      <c r="B2" s="262"/>
      <c r="C2" s="263"/>
      <c r="D2" s="12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</row>
    <row r="3" spans="1:34" ht="15" customHeight="1">
      <c r="A3" s="128"/>
      <c r="B3" s="128"/>
      <c r="C3" s="129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1:34" ht="15" customHeight="1">
      <c r="A4" s="128"/>
      <c r="B4" s="128"/>
      <c r="C4" s="129"/>
      <c r="D4" s="200" t="s">
        <v>487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7"/>
    </row>
    <row r="5" spans="1:34" ht="51" customHeight="1">
      <c r="A5" s="130"/>
      <c r="B5" s="130"/>
      <c r="C5" s="115" t="s">
        <v>422</v>
      </c>
      <c r="D5" s="30" t="s">
        <v>479</v>
      </c>
      <c r="E5" s="63" t="s">
        <v>143</v>
      </c>
      <c r="F5" s="63" t="s">
        <v>144</v>
      </c>
      <c r="G5" s="63" t="s">
        <v>142</v>
      </c>
      <c r="H5" s="63" t="s">
        <v>145</v>
      </c>
      <c r="I5" s="63" t="s">
        <v>146</v>
      </c>
      <c r="J5" s="63" t="s">
        <v>147</v>
      </c>
      <c r="K5" s="63" t="s">
        <v>148</v>
      </c>
      <c r="L5" s="63" t="s">
        <v>149</v>
      </c>
      <c r="M5" s="63" t="s">
        <v>150</v>
      </c>
      <c r="N5" s="63" t="s">
        <v>151</v>
      </c>
      <c r="O5" s="63" t="s">
        <v>152</v>
      </c>
      <c r="P5" s="63" t="s">
        <v>153</v>
      </c>
      <c r="Q5" s="30" t="s">
        <v>486</v>
      </c>
      <c r="R5" s="30"/>
      <c r="S5" s="30" t="s">
        <v>466</v>
      </c>
      <c r="T5" s="30" t="s">
        <v>467</v>
      </c>
      <c r="U5" s="30" t="s">
        <v>468</v>
      </c>
      <c r="V5" s="30" t="s">
        <v>469</v>
      </c>
      <c r="W5" s="30" t="s">
        <v>470</v>
      </c>
      <c r="X5" s="30" t="s">
        <v>471</v>
      </c>
      <c r="Y5" s="30" t="s">
        <v>472</v>
      </c>
      <c r="Z5" s="30" t="s">
        <v>473</v>
      </c>
      <c r="AA5" s="30" t="s">
        <v>474</v>
      </c>
      <c r="AB5" s="30" t="s">
        <v>475</v>
      </c>
      <c r="AC5" s="30" t="s">
        <v>476</v>
      </c>
      <c r="AD5" s="30" t="s">
        <v>477</v>
      </c>
      <c r="AE5" s="30"/>
      <c r="AF5" s="30" t="s">
        <v>465</v>
      </c>
      <c r="AG5" s="29" t="s">
        <v>63</v>
      </c>
      <c r="AH5" s="29" t="s">
        <v>64</v>
      </c>
    </row>
    <row r="6" spans="1:34" ht="18">
      <c r="A6" s="131" t="s">
        <v>0</v>
      </c>
      <c r="B6" s="132" t="s">
        <v>1</v>
      </c>
      <c r="C6" s="43" t="s">
        <v>447</v>
      </c>
      <c r="D6" s="133">
        <f>D7+D8+D9+D10+D11+D12+D13+D14+D15+D16+D19+D20+D21</f>
        <v>40615000</v>
      </c>
      <c r="E6" s="43">
        <f t="shared" ref="E6:Q6" si="0">SUM(E7+E8+E9+E10+E11+E12+E13+E14+E15+E16+E19+E20+E21)</f>
        <v>0</v>
      </c>
      <c r="F6" s="43">
        <f t="shared" si="0"/>
        <v>0</v>
      </c>
      <c r="G6" s="43">
        <f t="shared" si="0"/>
        <v>0</v>
      </c>
      <c r="H6" s="43">
        <f t="shared" si="0"/>
        <v>0</v>
      </c>
      <c r="I6" s="43">
        <f t="shared" si="0"/>
        <v>0</v>
      </c>
      <c r="J6" s="43">
        <f t="shared" si="0"/>
        <v>0</v>
      </c>
      <c r="K6" s="43">
        <f t="shared" si="0"/>
        <v>0</v>
      </c>
      <c r="L6" s="43">
        <f t="shared" si="0"/>
        <v>0</v>
      </c>
      <c r="M6" s="43">
        <f t="shared" si="0"/>
        <v>0</v>
      </c>
      <c r="N6" s="43">
        <f t="shared" si="0"/>
        <v>0</v>
      </c>
      <c r="O6" s="43">
        <f t="shared" si="0"/>
        <v>0</v>
      </c>
      <c r="P6" s="43">
        <f t="shared" si="0"/>
        <v>0</v>
      </c>
      <c r="Q6" s="133">
        <f t="shared" si="0"/>
        <v>40615000</v>
      </c>
      <c r="R6" s="44"/>
      <c r="S6" s="43">
        <f t="shared" ref="S6:AD6" si="1">SUM(S7+S8+S9+S10+S11+S12+S13+S14+S15+S16+S19+S20+S21)</f>
        <v>3652424.22</v>
      </c>
      <c r="T6" s="43">
        <f t="shared" si="1"/>
        <v>4551415.0200000005</v>
      </c>
      <c r="U6" s="43">
        <f t="shared" si="1"/>
        <v>2751496.6299999994</v>
      </c>
      <c r="V6" s="43">
        <f t="shared" si="1"/>
        <v>0</v>
      </c>
      <c r="W6" s="43">
        <f t="shared" si="1"/>
        <v>0</v>
      </c>
      <c r="X6" s="43">
        <f t="shared" si="1"/>
        <v>0</v>
      </c>
      <c r="Y6" s="43">
        <f t="shared" si="1"/>
        <v>0</v>
      </c>
      <c r="Z6" s="43">
        <f t="shared" si="1"/>
        <v>0</v>
      </c>
      <c r="AA6" s="43">
        <f t="shared" si="1"/>
        <v>0</v>
      </c>
      <c r="AB6" s="43">
        <f t="shared" si="1"/>
        <v>0</v>
      </c>
      <c r="AC6" s="43">
        <f t="shared" si="1"/>
        <v>0</v>
      </c>
      <c r="AD6" s="43">
        <f t="shared" si="1"/>
        <v>0</v>
      </c>
      <c r="AE6" s="44"/>
      <c r="AF6" s="43">
        <f>SUM(S6:AD6)</f>
        <v>10955335.869999999</v>
      </c>
      <c r="AG6" s="43">
        <f>(AF6/D6)*100</f>
        <v>26.973620263449462</v>
      </c>
      <c r="AH6" s="43">
        <f t="shared" ref="AH6:AH37" si="2">(AF6/Q6)*100</f>
        <v>26.973620263449462</v>
      </c>
    </row>
    <row r="7" spans="1:34" ht="15">
      <c r="A7" s="132" t="s">
        <v>65</v>
      </c>
      <c r="B7" s="31">
        <v>1111</v>
      </c>
      <c r="C7" s="45" t="s">
        <v>25</v>
      </c>
      <c r="D7" s="134">
        <v>8000000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>
        <f>SUM(D7:P7)</f>
        <v>8000000</v>
      </c>
      <c r="R7" s="46"/>
      <c r="S7" s="45">
        <v>881181.5</v>
      </c>
      <c r="T7" s="45">
        <f>1626943.34-S7</f>
        <v>745761.84000000008</v>
      </c>
      <c r="U7" s="45">
        <f>2256899.85-T7-S7</f>
        <v>629956.51</v>
      </c>
      <c r="V7" s="45"/>
      <c r="W7" s="45"/>
      <c r="X7" s="45"/>
      <c r="Y7" s="45"/>
      <c r="Z7" s="45"/>
      <c r="AA7" s="45"/>
      <c r="AB7" s="45"/>
      <c r="AC7" s="45"/>
      <c r="AD7" s="45"/>
      <c r="AE7" s="46"/>
      <c r="AF7" s="187">
        <f t="shared" ref="AF7:AF71" si="3">SUM(S7:AD7)</f>
        <v>2256899.85</v>
      </c>
      <c r="AG7" s="43">
        <f t="shared" ref="AG7:AG70" si="4">(AF7/D7)*100</f>
        <v>28.211248124999997</v>
      </c>
      <c r="AH7" s="43">
        <f t="shared" si="2"/>
        <v>28.211248124999997</v>
      </c>
    </row>
    <row r="8" spans="1:34" ht="15">
      <c r="A8" s="132" t="s">
        <v>65</v>
      </c>
      <c r="B8" s="32">
        <v>1112</v>
      </c>
      <c r="C8" s="45" t="s">
        <v>26</v>
      </c>
      <c r="D8" s="134">
        <v>370000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>
        <f t="shared" ref="Q8:Q15" si="5">SUM(D8:P8)</f>
        <v>370000</v>
      </c>
      <c r="R8" s="46"/>
      <c r="S8" s="45"/>
      <c r="T8" s="45"/>
      <c r="U8" s="45">
        <f>14803.15-S8-T8</f>
        <v>14803.15</v>
      </c>
      <c r="V8" s="45"/>
      <c r="W8" s="47"/>
      <c r="X8" s="47"/>
      <c r="Y8" s="47"/>
      <c r="Z8" s="45"/>
      <c r="AA8" s="45"/>
      <c r="AB8" s="45"/>
      <c r="AC8" s="45"/>
      <c r="AD8" s="45"/>
      <c r="AE8" s="46"/>
      <c r="AF8" s="187">
        <f t="shared" si="3"/>
        <v>14803.15</v>
      </c>
      <c r="AG8" s="43">
        <f t="shared" si="4"/>
        <v>4.0008513513513515</v>
      </c>
      <c r="AH8" s="43">
        <f t="shared" si="2"/>
        <v>4.0008513513513515</v>
      </c>
    </row>
    <row r="9" spans="1:34" ht="15">
      <c r="A9" s="132" t="s">
        <v>65</v>
      </c>
      <c r="B9" s="32">
        <v>1113</v>
      </c>
      <c r="C9" s="45" t="s">
        <v>27</v>
      </c>
      <c r="D9" s="134">
        <v>1000000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>
        <f t="shared" si="5"/>
        <v>1000000</v>
      </c>
      <c r="R9" s="46"/>
      <c r="S9" s="45">
        <v>86280.65</v>
      </c>
      <c r="T9" s="45">
        <f>215097.75-S9</f>
        <v>128817.1</v>
      </c>
      <c r="U9" s="45">
        <f>268643.72-S9-T9</f>
        <v>53545.969999999972</v>
      </c>
      <c r="V9" s="45"/>
      <c r="W9" s="45"/>
      <c r="X9" s="45"/>
      <c r="Y9" s="45"/>
      <c r="Z9" s="45"/>
      <c r="AA9" s="45"/>
      <c r="AB9" s="45"/>
      <c r="AC9" s="45"/>
      <c r="AD9" s="45"/>
      <c r="AE9" s="46"/>
      <c r="AF9" s="187">
        <f t="shared" si="3"/>
        <v>268643.71999999997</v>
      </c>
      <c r="AG9" s="43">
        <f t="shared" si="4"/>
        <v>26.864371999999996</v>
      </c>
      <c r="AH9" s="43">
        <f t="shared" si="2"/>
        <v>26.864371999999996</v>
      </c>
    </row>
    <row r="10" spans="1:34" ht="15">
      <c r="A10" s="132" t="s">
        <v>65</v>
      </c>
      <c r="B10" s="32">
        <v>1121</v>
      </c>
      <c r="C10" s="45" t="s">
        <v>28</v>
      </c>
      <c r="D10" s="134">
        <v>8000000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>
        <f t="shared" si="5"/>
        <v>8000000</v>
      </c>
      <c r="R10" s="46"/>
      <c r="S10" s="45">
        <v>271176.31</v>
      </c>
      <c r="T10" s="45">
        <f>340262.81-S10</f>
        <v>69086.5</v>
      </c>
      <c r="U10" s="45">
        <f>1203311.79-S10-T10</f>
        <v>863048.98</v>
      </c>
      <c r="V10" s="45"/>
      <c r="W10" s="45"/>
      <c r="X10" s="45"/>
      <c r="Y10" s="45"/>
      <c r="Z10" s="47"/>
      <c r="AA10" s="45"/>
      <c r="AB10" s="45"/>
      <c r="AC10" s="45"/>
      <c r="AD10" s="45"/>
      <c r="AE10" s="46"/>
      <c r="AF10" s="187">
        <f t="shared" si="3"/>
        <v>1203311.79</v>
      </c>
      <c r="AG10" s="43">
        <f t="shared" si="4"/>
        <v>15.041397375000001</v>
      </c>
      <c r="AH10" s="43">
        <f t="shared" si="2"/>
        <v>15.041397375000001</v>
      </c>
    </row>
    <row r="11" spans="1:34" ht="15">
      <c r="A11" s="132" t="s">
        <v>65</v>
      </c>
      <c r="B11" s="32">
        <v>1122</v>
      </c>
      <c r="C11" s="45" t="s">
        <v>29</v>
      </c>
      <c r="D11" s="13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>
        <f t="shared" si="5"/>
        <v>0</v>
      </c>
      <c r="R11" s="46"/>
      <c r="S11" s="45"/>
      <c r="T11" s="47"/>
      <c r="U11" s="45"/>
      <c r="V11" s="45"/>
      <c r="W11" s="47"/>
      <c r="X11" s="47"/>
      <c r="Y11" s="47"/>
      <c r="Z11" s="47"/>
      <c r="AA11" s="47"/>
      <c r="AB11" s="47"/>
      <c r="AC11" s="45"/>
      <c r="AD11" s="45"/>
      <c r="AE11" s="46"/>
      <c r="AF11" s="187">
        <f t="shared" si="3"/>
        <v>0</v>
      </c>
      <c r="AG11" s="43">
        <v>0</v>
      </c>
      <c r="AH11" s="43" t="e">
        <f t="shared" si="2"/>
        <v>#DIV/0!</v>
      </c>
    </row>
    <row r="12" spans="1:34" ht="15">
      <c r="A12" s="132" t="s">
        <v>65</v>
      </c>
      <c r="B12" s="32">
        <v>1211</v>
      </c>
      <c r="C12" s="45" t="s">
        <v>30</v>
      </c>
      <c r="D12" s="134">
        <v>17000000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>
        <f t="shared" si="5"/>
        <v>17000000</v>
      </c>
      <c r="R12" s="46"/>
      <c r="S12" s="45">
        <v>1493646.82</v>
      </c>
      <c r="T12" s="45">
        <f>3701304.62-S12</f>
        <v>2207657.7999999998</v>
      </c>
      <c r="U12" s="45">
        <f>4369083.43-S12-T12</f>
        <v>667778.80999999959</v>
      </c>
      <c r="V12" s="45"/>
      <c r="W12" s="45"/>
      <c r="X12" s="45"/>
      <c r="Y12" s="45"/>
      <c r="Z12" s="45"/>
      <c r="AA12" s="45"/>
      <c r="AB12" s="45"/>
      <c r="AC12" s="45"/>
      <c r="AD12" s="45"/>
      <c r="AE12" s="46"/>
      <c r="AF12" s="187">
        <f t="shared" si="3"/>
        <v>4369083.43</v>
      </c>
      <c r="AG12" s="43">
        <f t="shared" si="4"/>
        <v>25.700490764705879</v>
      </c>
      <c r="AH12" s="43">
        <f t="shared" si="2"/>
        <v>25.700490764705879</v>
      </c>
    </row>
    <row r="13" spans="1:34" ht="15">
      <c r="A13" s="132" t="s">
        <v>65</v>
      </c>
      <c r="B13" s="32">
        <v>1340</v>
      </c>
      <c r="C13" s="45" t="s">
        <v>31</v>
      </c>
      <c r="D13" s="134">
        <v>2000000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>
        <f t="shared" si="5"/>
        <v>2000000</v>
      </c>
      <c r="R13" s="46"/>
      <c r="S13" s="45">
        <v>592350</v>
      </c>
      <c r="T13" s="45">
        <f>1738980-S13</f>
        <v>1146630</v>
      </c>
      <c r="U13" s="198">
        <f>1875776-S13-T13</f>
        <v>136796</v>
      </c>
      <c r="V13" s="45"/>
      <c r="W13" s="45"/>
      <c r="X13" s="45"/>
      <c r="Y13" s="45"/>
      <c r="Z13" s="45"/>
      <c r="AA13" s="45"/>
      <c r="AB13" s="45"/>
      <c r="AC13" s="45"/>
      <c r="AD13" s="45"/>
      <c r="AE13" s="46"/>
      <c r="AF13" s="187">
        <f t="shared" si="3"/>
        <v>1875776</v>
      </c>
      <c r="AG13" s="43">
        <f t="shared" si="4"/>
        <v>93.788800000000009</v>
      </c>
      <c r="AH13" s="43">
        <f t="shared" si="2"/>
        <v>93.788800000000009</v>
      </c>
    </row>
    <row r="14" spans="1:34" ht="15">
      <c r="A14" s="132" t="s">
        <v>65</v>
      </c>
      <c r="B14" s="32">
        <v>1341</v>
      </c>
      <c r="C14" s="45" t="s">
        <v>32</v>
      </c>
      <c r="D14" s="134">
        <v>95000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>
        <f t="shared" si="5"/>
        <v>95000</v>
      </c>
      <c r="R14" s="46"/>
      <c r="S14" s="45">
        <v>55100</v>
      </c>
      <c r="T14" s="45">
        <f>91738-S14</f>
        <v>36638</v>
      </c>
      <c r="U14" s="45">
        <f>95238-S14-T14</f>
        <v>3500</v>
      </c>
      <c r="V14" s="45"/>
      <c r="W14" s="45"/>
      <c r="X14" s="45"/>
      <c r="Y14" s="47"/>
      <c r="Z14" s="47"/>
      <c r="AA14" s="47"/>
      <c r="AB14" s="45"/>
      <c r="AC14" s="45"/>
      <c r="AD14" s="45"/>
      <c r="AE14" s="46"/>
      <c r="AF14" s="187">
        <f t="shared" si="3"/>
        <v>95238</v>
      </c>
      <c r="AG14" s="43">
        <f t="shared" si="4"/>
        <v>100.25052631578947</v>
      </c>
      <c r="AH14" s="43">
        <f t="shared" si="2"/>
        <v>100.25052631578947</v>
      </c>
    </row>
    <row r="15" spans="1:34" ht="15">
      <c r="A15" s="132" t="s">
        <v>65</v>
      </c>
      <c r="B15" s="32">
        <v>1343</v>
      </c>
      <c r="C15" s="45" t="s">
        <v>33</v>
      </c>
      <c r="D15" s="134">
        <v>200000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>
        <f t="shared" si="5"/>
        <v>200000</v>
      </c>
      <c r="R15" s="46"/>
      <c r="S15" s="45">
        <v>940</v>
      </c>
      <c r="T15" s="45">
        <f>1720-S15</f>
        <v>780</v>
      </c>
      <c r="U15" s="45">
        <f>3890-S15-T15</f>
        <v>2170</v>
      </c>
      <c r="V15" s="45"/>
      <c r="W15" s="45"/>
      <c r="X15" s="45"/>
      <c r="Y15" s="45"/>
      <c r="Z15" s="45"/>
      <c r="AA15" s="45"/>
      <c r="AB15" s="45"/>
      <c r="AC15" s="45"/>
      <c r="AD15" s="45"/>
      <c r="AE15" s="46"/>
      <c r="AF15" s="187">
        <f t="shared" si="3"/>
        <v>3890</v>
      </c>
      <c r="AG15" s="43">
        <f t="shared" si="4"/>
        <v>1.9449999999999998</v>
      </c>
      <c r="AH15" s="43">
        <f t="shared" si="2"/>
        <v>1.9449999999999998</v>
      </c>
    </row>
    <row r="16" spans="1:34" ht="15">
      <c r="A16" s="135"/>
      <c r="B16" s="136"/>
      <c r="C16" s="45" t="s">
        <v>34</v>
      </c>
      <c r="D16" s="137">
        <f>SUM(D17:D18)</f>
        <v>200000</v>
      </c>
      <c r="E16" s="45">
        <f t="shared" ref="E16:Q16" si="6">SUM(E17:E18)</f>
        <v>0</v>
      </c>
      <c r="F16" s="45">
        <f t="shared" si="6"/>
        <v>0</v>
      </c>
      <c r="G16" s="45">
        <f t="shared" si="6"/>
        <v>0</v>
      </c>
      <c r="H16" s="45">
        <f t="shared" si="6"/>
        <v>0</v>
      </c>
      <c r="I16" s="45">
        <f t="shared" si="6"/>
        <v>0</v>
      </c>
      <c r="J16" s="45">
        <f t="shared" si="6"/>
        <v>0</v>
      </c>
      <c r="K16" s="45">
        <f t="shared" si="6"/>
        <v>0</v>
      </c>
      <c r="L16" s="45">
        <f t="shared" si="6"/>
        <v>0</v>
      </c>
      <c r="M16" s="45">
        <f t="shared" si="6"/>
        <v>0</v>
      </c>
      <c r="N16" s="45">
        <f t="shared" si="6"/>
        <v>0</v>
      </c>
      <c r="O16" s="45">
        <f t="shared" si="6"/>
        <v>0</v>
      </c>
      <c r="P16" s="45">
        <f t="shared" si="6"/>
        <v>0</v>
      </c>
      <c r="Q16" s="45">
        <f t="shared" si="6"/>
        <v>200000</v>
      </c>
      <c r="R16" s="46"/>
      <c r="S16" s="45">
        <f t="shared" ref="S16:AD16" si="7">SUM(S17:S18)</f>
        <v>1157.4000000000001</v>
      </c>
      <c r="T16" s="45">
        <f t="shared" si="7"/>
        <v>4153.7800000000007</v>
      </c>
      <c r="U16" s="45">
        <f t="shared" si="7"/>
        <v>136229.44</v>
      </c>
      <c r="V16" s="45">
        <f t="shared" si="7"/>
        <v>0</v>
      </c>
      <c r="W16" s="45">
        <f t="shared" si="7"/>
        <v>0</v>
      </c>
      <c r="X16" s="47">
        <f t="shared" si="7"/>
        <v>0</v>
      </c>
      <c r="Y16" s="45">
        <f t="shared" si="7"/>
        <v>0</v>
      </c>
      <c r="Z16" s="45">
        <f t="shared" si="7"/>
        <v>0</v>
      </c>
      <c r="AA16" s="45">
        <f t="shared" si="7"/>
        <v>0</v>
      </c>
      <c r="AB16" s="45">
        <f t="shared" si="7"/>
        <v>0</v>
      </c>
      <c r="AC16" s="45">
        <f t="shared" si="7"/>
        <v>0</v>
      </c>
      <c r="AD16" s="45">
        <f t="shared" si="7"/>
        <v>0</v>
      </c>
      <c r="AE16" s="46"/>
      <c r="AF16" s="187">
        <f t="shared" si="3"/>
        <v>141540.62</v>
      </c>
      <c r="AG16" s="43">
        <f t="shared" si="4"/>
        <v>70.770310000000009</v>
      </c>
      <c r="AH16" s="43">
        <f t="shared" si="2"/>
        <v>70.770310000000009</v>
      </c>
    </row>
    <row r="17" spans="1:34">
      <c r="A17" s="132" t="s">
        <v>65</v>
      </c>
      <c r="B17" s="32">
        <v>1347</v>
      </c>
      <c r="C17" s="48" t="s">
        <v>344</v>
      </c>
      <c r="D17" s="138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>
        <f>SUM(D17:P17)</f>
        <v>0</v>
      </c>
      <c r="R17" s="139"/>
      <c r="S17" s="55"/>
      <c r="T17" s="140"/>
      <c r="U17" s="140"/>
      <c r="V17" s="140"/>
      <c r="W17" s="140"/>
      <c r="X17" s="140"/>
      <c r="Y17" s="140"/>
      <c r="Z17" s="140"/>
      <c r="AA17" s="140"/>
      <c r="AB17" s="140"/>
      <c r="AC17" s="139"/>
      <c r="AD17" s="139"/>
      <c r="AE17" s="139"/>
      <c r="AF17" s="139">
        <f t="shared" si="3"/>
        <v>0</v>
      </c>
      <c r="AG17" s="140">
        <v>0</v>
      </c>
      <c r="AH17" s="139" t="e">
        <f t="shared" si="2"/>
        <v>#DIV/0!</v>
      </c>
    </row>
    <row r="18" spans="1:34">
      <c r="A18" s="132" t="s">
        <v>65</v>
      </c>
      <c r="B18" s="32">
        <v>1351</v>
      </c>
      <c r="C18" s="48" t="s">
        <v>66</v>
      </c>
      <c r="D18" s="138">
        <v>200000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>
        <f>SUM(D18:P18)</f>
        <v>200000</v>
      </c>
      <c r="R18" s="139"/>
      <c r="S18" s="55">
        <v>1157.4000000000001</v>
      </c>
      <c r="T18" s="139">
        <f>5311.18-S18</f>
        <v>4153.7800000000007</v>
      </c>
      <c r="U18" s="139">
        <f>141540.62-S18-T18</f>
        <v>136229.44</v>
      </c>
      <c r="V18" s="139"/>
      <c r="W18" s="139"/>
      <c r="X18" s="140"/>
      <c r="Y18" s="139"/>
      <c r="Z18" s="139"/>
      <c r="AA18" s="139"/>
      <c r="AB18" s="139"/>
      <c r="AC18" s="139"/>
      <c r="AD18" s="139"/>
      <c r="AE18" s="139"/>
      <c r="AF18" s="139">
        <f t="shared" si="3"/>
        <v>141540.62</v>
      </c>
      <c r="AG18" s="139">
        <f t="shared" si="4"/>
        <v>70.770310000000009</v>
      </c>
      <c r="AH18" s="139">
        <f t="shared" si="2"/>
        <v>70.770310000000009</v>
      </c>
    </row>
    <row r="19" spans="1:34" ht="15">
      <c r="A19" s="132" t="s">
        <v>65</v>
      </c>
      <c r="B19" s="32">
        <v>1361</v>
      </c>
      <c r="C19" s="45" t="s">
        <v>35</v>
      </c>
      <c r="D19" s="134">
        <v>2000000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>
        <f>SUM(D19:P19)</f>
        <v>2000000</v>
      </c>
      <c r="R19" s="46"/>
      <c r="S19" s="45">
        <v>159860</v>
      </c>
      <c r="T19" s="45">
        <f>359350-S19</f>
        <v>199490</v>
      </c>
      <c r="U19" s="45">
        <f>579460-S19-T19</f>
        <v>220110</v>
      </c>
      <c r="V19" s="45"/>
      <c r="W19" s="45"/>
      <c r="X19" s="45"/>
      <c r="Y19" s="45"/>
      <c r="Z19" s="45"/>
      <c r="AA19" s="45"/>
      <c r="AB19" s="45"/>
      <c r="AC19" s="45"/>
      <c r="AD19" s="45"/>
      <c r="AE19" s="46"/>
      <c r="AF19" s="45">
        <f t="shared" si="3"/>
        <v>579460</v>
      </c>
      <c r="AG19" s="43">
        <f t="shared" si="4"/>
        <v>28.972999999999999</v>
      </c>
      <c r="AH19" s="43">
        <f t="shared" si="2"/>
        <v>28.972999999999999</v>
      </c>
    </row>
    <row r="20" spans="1:34" ht="15">
      <c r="A20" s="132" t="s">
        <v>65</v>
      </c>
      <c r="B20" s="32">
        <v>1511</v>
      </c>
      <c r="C20" s="45" t="s">
        <v>446</v>
      </c>
      <c r="D20" s="134">
        <v>1500000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>
        <f>SUM(D20:P20)</f>
        <v>1500000</v>
      </c>
      <c r="R20" s="46"/>
      <c r="S20" s="45">
        <v>64413.54</v>
      </c>
      <c r="T20" s="45">
        <f>64413.54-S20</f>
        <v>0</v>
      </c>
      <c r="U20" s="45">
        <f>72171.31-S20-T20</f>
        <v>7757.7699999999968</v>
      </c>
      <c r="V20" s="45"/>
      <c r="W20" s="45"/>
      <c r="X20" s="45"/>
      <c r="Y20" s="45"/>
      <c r="Z20" s="45"/>
      <c r="AA20" s="45"/>
      <c r="AB20" s="45"/>
      <c r="AC20" s="45"/>
      <c r="AD20" s="45"/>
      <c r="AE20" s="46"/>
      <c r="AF20" s="45">
        <f t="shared" si="3"/>
        <v>72171.31</v>
      </c>
      <c r="AG20" s="43">
        <f t="shared" si="4"/>
        <v>4.8114206666666668</v>
      </c>
      <c r="AH20" s="43">
        <f t="shared" si="2"/>
        <v>4.8114206666666668</v>
      </c>
    </row>
    <row r="21" spans="1:34" ht="15">
      <c r="A21" s="135"/>
      <c r="B21" s="32"/>
      <c r="C21" s="45" t="s">
        <v>36</v>
      </c>
      <c r="D21" s="137">
        <f>SUM(D24:D26)</f>
        <v>250000</v>
      </c>
      <c r="E21" s="45">
        <f t="shared" ref="E21:Q21" si="8">SUM(E22:E26)</f>
        <v>0</v>
      </c>
      <c r="F21" s="45">
        <f t="shared" si="8"/>
        <v>0</v>
      </c>
      <c r="G21" s="45">
        <f t="shared" si="8"/>
        <v>0</v>
      </c>
      <c r="H21" s="45">
        <f t="shared" si="8"/>
        <v>0</v>
      </c>
      <c r="I21" s="45">
        <f t="shared" si="8"/>
        <v>0</v>
      </c>
      <c r="J21" s="45">
        <f t="shared" si="8"/>
        <v>0</v>
      </c>
      <c r="K21" s="45">
        <f t="shared" si="8"/>
        <v>0</v>
      </c>
      <c r="L21" s="45">
        <f t="shared" si="8"/>
        <v>0</v>
      </c>
      <c r="M21" s="45">
        <f t="shared" si="8"/>
        <v>0</v>
      </c>
      <c r="N21" s="45">
        <f t="shared" si="8"/>
        <v>0</v>
      </c>
      <c r="O21" s="45">
        <f t="shared" si="8"/>
        <v>0</v>
      </c>
      <c r="P21" s="45">
        <f t="shared" si="8"/>
        <v>0</v>
      </c>
      <c r="Q21" s="45">
        <f t="shared" si="8"/>
        <v>250000</v>
      </c>
      <c r="R21" s="46"/>
      <c r="S21" s="45">
        <f t="shared" ref="S21:AD21" si="9">SUM(S22:S26)</f>
        <v>46318</v>
      </c>
      <c r="T21" s="45">
        <f t="shared" si="9"/>
        <v>12400</v>
      </c>
      <c r="U21" s="45">
        <f t="shared" si="9"/>
        <v>15800</v>
      </c>
      <c r="V21" s="45">
        <f t="shared" si="9"/>
        <v>0</v>
      </c>
      <c r="W21" s="45">
        <f t="shared" si="9"/>
        <v>0</v>
      </c>
      <c r="X21" s="45">
        <f t="shared" si="9"/>
        <v>0</v>
      </c>
      <c r="Y21" s="45">
        <f t="shared" si="9"/>
        <v>0</v>
      </c>
      <c r="Z21" s="45">
        <f t="shared" si="9"/>
        <v>0</v>
      </c>
      <c r="AA21" s="45">
        <f t="shared" si="9"/>
        <v>0</v>
      </c>
      <c r="AB21" s="45">
        <f t="shared" si="9"/>
        <v>0</v>
      </c>
      <c r="AC21" s="45">
        <f t="shared" si="9"/>
        <v>0</v>
      </c>
      <c r="AD21" s="45">
        <f t="shared" si="9"/>
        <v>0</v>
      </c>
      <c r="AE21" s="46"/>
      <c r="AF21" s="45">
        <f t="shared" si="3"/>
        <v>74518</v>
      </c>
      <c r="AG21" s="43">
        <f t="shared" si="4"/>
        <v>29.807200000000002</v>
      </c>
      <c r="AH21" s="43">
        <f t="shared" si="2"/>
        <v>29.807200000000002</v>
      </c>
    </row>
    <row r="22" spans="1:34" s="127" customFormat="1" hidden="1">
      <c r="A22" s="141" t="s">
        <v>65</v>
      </c>
      <c r="B22" s="35">
        <v>1334</v>
      </c>
      <c r="C22" s="49" t="s">
        <v>345</v>
      </c>
      <c r="D22" s="134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>
        <f>SUM(D22:P22)</f>
        <v>0</v>
      </c>
      <c r="R22" s="142"/>
      <c r="S22" s="55">
        <v>0</v>
      </c>
      <c r="T22" s="140">
        <v>0</v>
      </c>
      <c r="U22" s="140">
        <v>0</v>
      </c>
      <c r="V22" s="143">
        <v>0</v>
      </c>
      <c r="W22" s="140">
        <v>0</v>
      </c>
      <c r="X22" s="140">
        <v>0</v>
      </c>
      <c r="Y22" s="140">
        <v>0</v>
      </c>
      <c r="Z22" s="140">
        <v>0</v>
      </c>
      <c r="AA22" s="143"/>
      <c r="AB22" s="143"/>
      <c r="AC22" s="143"/>
      <c r="AD22" s="143"/>
      <c r="AE22" s="143"/>
      <c r="AF22" s="139">
        <f t="shared" si="3"/>
        <v>0</v>
      </c>
      <c r="AG22" s="144">
        <v>0</v>
      </c>
      <c r="AH22" s="144" t="e">
        <f t="shared" si="2"/>
        <v>#DIV/0!</v>
      </c>
    </row>
    <row r="23" spans="1:34" hidden="1">
      <c r="A23" s="132" t="s">
        <v>65</v>
      </c>
      <c r="B23" s="32">
        <v>1342</v>
      </c>
      <c r="C23" s="49" t="s">
        <v>67</v>
      </c>
      <c r="D23" s="134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42">
        <f>SUM(D23:P23)</f>
        <v>0</v>
      </c>
      <c r="R23" s="139"/>
      <c r="S23" s="55">
        <v>0</v>
      </c>
      <c r="T23" s="140">
        <v>0</v>
      </c>
      <c r="U23" s="140">
        <v>0</v>
      </c>
      <c r="V23" s="144">
        <v>0</v>
      </c>
      <c r="W23" s="140">
        <v>0</v>
      </c>
      <c r="X23" s="140">
        <v>0</v>
      </c>
      <c r="Y23" s="140">
        <v>0</v>
      </c>
      <c r="Z23" s="140">
        <v>0</v>
      </c>
      <c r="AA23" s="144"/>
      <c r="AB23" s="144"/>
      <c r="AC23" s="144"/>
      <c r="AD23" s="144"/>
      <c r="AE23" s="144"/>
      <c r="AF23" s="139">
        <f t="shared" si="3"/>
        <v>0</v>
      </c>
      <c r="AG23" s="144">
        <v>0</v>
      </c>
      <c r="AH23" s="144" t="e">
        <f t="shared" si="2"/>
        <v>#DIV/0!</v>
      </c>
    </row>
    <row r="24" spans="1:34">
      <c r="A24" s="132" t="s">
        <v>65</v>
      </c>
      <c r="B24" s="32">
        <v>1344</v>
      </c>
      <c r="C24" s="49" t="s">
        <v>68</v>
      </c>
      <c r="D24" s="138">
        <v>200000</v>
      </c>
      <c r="E24" s="139"/>
      <c r="F24" s="139"/>
      <c r="G24" s="139">
        <v>-55000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42">
        <f>SUM(D24:P24)</f>
        <v>145000</v>
      </c>
      <c r="R24" s="139"/>
      <c r="S24" s="55">
        <v>21000</v>
      </c>
      <c r="T24" s="139">
        <f>29400-S24</f>
        <v>8400</v>
      </c>
      <c r="U24" s="139">
        <f>52200-S24-T24</f>
        <v>22800</v>
      </c>
      <c r="V24" s="144"/>
      <c r="W24" s="145"/>
      <c r="X24" s="144"/>
      <c r="Y24" s="144"/>
      <c r="Z24" s="144"/>
      <c r="AA24" s="144"/>
      <c r="AB24" s="144"/>
      <c r="AC24" s="144"/>
      <c r="AD24" s="144"/>
      <c r="AE24" s="144"/>
      <c r="AF24" s="139">
        <f t="shared" si="3"/>
        <v>52200</v>
      </c>
      <c r="AG24" s="145">
        <f t="shared" si="4"/>
        <v>26.1</v>
      </c>
      <c r="AH24" s="145">
        <f t="shared" si="2"/>
        <v>36</v>
      </c>
    </row>
    <row r="25" spans="1:34">
      <c r="A25" s="132" t="s">
        <v>65</v>
      </c>
      <c r="B25" s="32">
        <v>1345</v>
      </c>
      <c r="C25" s="49" t="s">
        <v>69</v>
      </c>
      <c r="D25" s="138">
        <v>25000</v>
      </c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2">
        <f>SUM(D25:P25)</f>
        <v>25000</v>
      </c>
      <c r="R25" s="139"/>
      <c r="S25" s="55">
        <v>1318</v>
      </c>
      <c r="T25" s="145">
        <f>1318-S25</f>
        <v>0</v>
      </c>
      <c r="U25" s="145">
        <v>0</v>
      </c>
      <c r="V25" s="145"/>
      <c r="W25" s="140"/>
      <c r="X25" s="140"/>
      <c r="Y25" s="145"/>
      <c r="Z25" s="140"/>
      <c r="AA25" s="140"/>
      <c r="AB25" s="145"/>
      <c r="AC25" s="145"/>
      <c r="AD25" s="145"/>
      <c r="AE25" s="145"/>
      <c r="AF25" s="139">
        <f t="shared" si="3"/>
        <v>1318</v>
      </c>
      <c r="AG25" s="144">
        <v>0</v>
      </c>
      <c r="AH25" s="144">
        <f t="shared" si="2"/>
        <v>5.2720000000000002</v>
      </c>
    </row>
    <row r="26" spans="1:34">
      <c r="A26" s="132" t="s">
        <v>65</v>
      </c>
      <c r="B26" s="32">
        <v>1359</v>
      </c>
      <c r="C26" s="49" t="s">
        <v>70</v>
      </c>
      <c r="D26" s="138">
        <v>25000</v>
      </c>
      <c r="E26" s="139"/>
      <c r="F26" s="139"/>
      <c r="G26" s="139">
        <v>55000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42">
        <f>SUM(D26:P26)</f>
        <v>80000</v>
      </c>
      <c r="R26" s="139"/>
      <c r="S26" s="55">
        <v>24000</v>
      </c>
      <c r="T26" s="145">
        <f>28000-S26</f>
        <v>4000</v>
      </c>
      <c r="U26" s="145">
        <f>21000-S26-T26</f>
        <v>-7000</v>
      </c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39">
        <f t="shared" si="3"/>
        <v>21000</v>
      </c>
      <c r="AG26" s="144">
        <v>0</v>
      </c>
      <c r="AH26" s="144">
        <f t="shared" si="2"/>
        <v>26.25</v>
      </c>
    </row>
    <row r="27" spans="1:34" ht="18">
      <c r="A27" s="135"/>
      <c r="B27" s="136"/>
      <c r="C27" s="50" t="s">
        <v>37</v>
      </c>
      <c r="D27" s="166">
        <f>D28+D29+D30+D33+D34+D35+D36+D37+D38+D41</f>
        <v>34392000</v>
      </c>
      <c r="E27" s="50">
        <f t="shared" ref="E27:Q27" si="10">SUM(E28+E29+E30+E33+E34+E35+E36+E37+E38+E41)</f>
        <v>0</v>
      </c>
      <c r="F27" s="50">
        <f t="shared" si="10"/>
        <v>0</v>
      </c>
      <c r="G27" s="50">
        <f t="shared" si="10"/>
        <v>0</v>
      </c>
      <c r="H27" s="50">
        <f t="shared" si="10"/>
        <v>0</v>
      </c>
      <c r="I27" s="50">
        <f t="shared" si="10"/>
        <v>0</v>
      </c>
      <c r="J27" s="50">
        <f t="shared" si="10"/>
        <v>0</v>
      </c>
      <c r="K27" s="50">
        <f t="shared" si="10"/>
        <v>0</v>
      </c>
      <c r="L27" s="50">
        <f t="shared" si="10"/>
        <v>0</v>
      </c>
      <c r="M27" s="50">
        <f t="shared" si="10"/>
        <v>0</v>
      </c>
      <c r="N27" s="50">
        <f t="shared" si="10"/>
        <v>0</v>
      </c>
      <c r="O27" s="50">
        <f t="shared" si="10"/>
        <v>0</v>
      </c>
      <c r="P27" s="50">
        <f t="shared" si="10"/>
        <v>0</v>
      </c>
      <c r="Q27" s="166">
        <f t="shared" si="10"/>
        <v>34392000</v>
      </c>
      <c r="R27" s="44"/>
      <c r="S27" s="50">
        <f t="shared" ref="S27:AD27" si="11">SUM(S28+S29+S30+S33+S34+S35+S36+S37+S38+S41)</f>
        <v>1856360.38</v>
      </c>
      <c r="T27" s="50">
        <f t="shared" si="11"/>
        <v>4138393.96</v>
      </c>
      <c r="U27" s="50">
        <f t="shared" si="11"/>
        <v>1680587.64</v>
      </c>
      <c r="V27" s="50">
        <f t="shared" si="11"/>
        <v>0</v>
      </c>
      <c r="W27" s="50">
        <f t="shared" si="11"/>
        <v>0</v>
      </c>
      <c r="X27" s="50">
        <f t="shared" si="11"/>
        <v>0</v>
      </c>
      <c r="Y27" s="50">
        <f t="shared" si="11"/>
        <v>0</v>
      </c>
      <c r="Z27" s="50">
        <f t="shared" si="11"/>
        <v>0</v>
      </c>
      <c r="AA27" s="50">
        <f t="shared" si="11"/>
        <v>0</v>
      </c>
      <c r="AB27" s="50">
        <f t="shared" si="11"/>
        <v>0</v>
      </c>
      <c r="AC27" s="50">
        <f t="shared" si="11"/>
        <v>0</v>
      </c>
      <c r="AD27" s="50">
        <f t="shared" si="11"/>
        <v>0</v>
      </c>
      <c r="AE27" s="44"/>
      <c r="AF27" s="51">
        <f t="shared" si="3"/>
        <v>7675341.9799999995</v>
      </c>
      <c r="AG27" s="51">
        <f t="shared" si="4"/>
        <v>22.31723069318446</v>
      </c>
      <c r="AH27" s="51">
        <f t="shared" si="2"/>
        <v>22.31723069318446</v>
      </c>
    </row>
    <row r="28" spans="1:34">
      <c r="A28" s="132" t="s">
        <v>71</v>
      </c>
      <c r="B28" s="32">
        <v>2111</v>
      </c>
      <c r="C28" s="52" t="s">
        <v>41</v>
      </c>
      <c r="D28" s="52">
        <v>6000000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>
        <f>SUM(D28:P28)</f>
        <v>6000000</v>
      </c>
      <c r="R28" s="46"/>
      <c r="S28" s="52">
        <v>1200</v>
      </c>
      <c r="T28" s="52">
        <f>84177.67-S28</f>
        <v>82977.67</v>
      </c>
      <c r="U28" s="52">
        <f>85484.67-S28-T28</f>
        <v>1307</v>
      </c>
      <c r="V28" s="52"/>
      <c r="W28" s="52"/>
      <c r="X28" s="52"/>
      <c r="Y28" s="52"/>
      <c r="Z28" s="52"/>
      <c r="AA28" s="80"/>
      <c r="AB28" s="52"/>
      <c r="AC28" s="52"/>
      <c r="AD28" s="52"/>
      <c r="AE28" s="46"/>
      <c r="AF28" s="52">
        <f t="shared" si="3"/>
        <v>85484.67</v>
      </c>
      <c r="AG28" s="52">
        <f t="shared" si="4"/>
        <v>1.4247444999999999</v>
      </c>
      <c r="AH28" s="52">
        <f t="shared" si="2"/>
        <v>1.4247444999999999</v>
      </c>
    </row>
    <row r="29" spans="1:34">
      <c r="A29" s="132" t="s">
        <v>72</v>
      </c>
      <c r="B29" s="32">
        <v>2111</v>
      </c>
      <c r="C29" s="52" t="s">
        <v>42</v>
      </c>
      <c r="D29" s="52">
        <v>30000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>
        <f>SUM(D29:P29)</f>
        <v>30000</v>
      </c>
      <c r="R29" s="46"/>
      <c r="S29" s="52">
        <v>2240</v>
      </c>
      <c r="T29" s="52">
        <f>4520-S29</f>
        <v>2280</v>
      </c>
      <c r="U29" s="52">
        <f>8080-S29-T29</f>
        <v>3560</v>
      </c>
      <c r="V29" s="52"/>
      <c r="W29" s="52"/>
      <c r="X29" s="52"/>
      <c r="Y29" s="52"/>
      <c r="Z29" s="52"/>
      <c r="AA29" s="52"/>
      <c r="AB29" s="52"/>
      <c r="AC29" s="52"/>
      <c r="AD29" s="52"/>
      <c r="AE29" s="46"/>
      <c r="AF29" s="52">
        <f t="shared" si="3"/>
        <v>8080</v>
      </c>
      <c r="AG29" s="52">
        <f t="shared" si="4"/>
        <v>26.93333333333333</v>
      </c>
      <c r="AH29" s="52">
        <f t="shared" si="2"/>
        <v>26.93333333333333</v>
      </c>
    </row>
    <row r="30" spans="1:34">
      <c r="A30" s="146"/>
      <c r="B30" s="32"/>
      <c r="C30" s="52" t="s">
        <v>43</v>
      </c>
      <c r="D30" s="51">
        <f>SUM(D31:D32)</f>
        <v>700000</v>
      </c>
      <c r="E30" s="52">
        <f t="shared" ref="E30:Q30" si="12">SUM(E31:E32)</f>
        <v>0</v>
      </c>
      <c r="F30" s="52">
        <f t="shared" si="12"/>
        <v>0</v>
      </c>
      <c r="G30" s="52">
        <f t="shared" si="12"/>
        <v>0</v>
      </c>
      <c r="H30" s="52">
        <f t="shared" si="12"/>
        <v>0</v>
      </c>
      <c r="I30" s="52">
        <f t="shared" si="12"/>
        <v>0</v>
      </c>
      <c r="J30" s="52">
        <f t="shared" si="12"/>
        <v>0</v>
      </c>
      <c r="K30" s="52">
        <f t="shared" si="12"/>
        <v>0</v>
      </c>
      <c r="L30" s="52">
        <f t="shared" si="12"/>
        <v>0</v>
      </c>
      <c r="M30" s="52">
        <f t="shared" si="12"/>
        <v>0</v>
      </c>
      <c r="N30" s="52">
        <f t="shared" si="12"/>
        <v>0</v>
      </c>
      <c r="O30" s="52">
        <f t="shared" si="12"/>
        <v>0</v>
      </c>
      <c r="P30" s="52">
        <f t="shared" si="12"/>
        <v>0</v>
      </c>
      <c r="Q30" s="51">
        <f t="shared" si="12"/>
        <v>700000</v>
      </c>
      <c r="R30" s="46"/>
      <c r="S30" s="52">
        <f t="shared" ref="S30:AD30" si="13">SUM(S31:S32)</f>
        <v>25113.66</v>
      </c>
      <c r="T30" s="52">
        <f t="shared" si="13"/>
        <v>38230.899999999994</v>
      </c>
      <c r="U30" s="52">
        <f t="shared" si="13"/>
        <v>63761</v>
      </c>
      <c r="V30" s="52">
        <f t="shared" si="13"/>
        <v>0</v>
      </c>
      <c r="W30" s="52">
        <f t="shared" si="13"/>
        <v>0</v>
      </c>
      <c r="X30" s="52">
        <f t="shared" si="13"/>
        <v>0</v>
      </c>
      <c r="Y30" s="52">
        <f t="shared" si="13"/>
        <v>0</v>
      </c>
      <c r="Z30" s="52">
        <f t="shared" si="13"/>
        <v>0</v>
      </c>
      <c r="AA30" s="52">
        <f t="shared" si="13"/>
        <v>0</v>
      </c>
      <c r="AB30" s="52">
        <f t="shared" si="13"/>
        <v>0</v>
      </c>
      <c r="AC30" s="52">
        <f t="shared" si="13"/>
        <v>0</v>
      </c>
      <c r="AD30" s="52">
        <f t="shared" si="13"/>
        <v>0</v>
      </c>
      <c r="AE30" s="46"/>
      <c r="AF30" s="52">
        <f t="shared" si="3"/>
        <v>127105.56</v>
      </c>
      <c r="AG30" s="52">
        <f t="shared" si="4"/>
        <v>18.157937142857143</v>
      </c>
      <c r="AH30" s="52">
        <f t="shared" si="2"/>
        <v>18.157937142857143</v>
      </c>
    </row>
    <row r="31" spans="1:34">
      <c r="A31" s="132" t="s">
        <v>73</v>
      </c>
      <c r="B31" s="32">
        <v>2111</v>
      </c>
      <c r="C31" s="49" t="s">
        <v>346</v>
      </c>
      <c r="D31" s="138">
        <v>350000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>
        <f t="shared" ref="Q31:Q37" si="14">SUM(D31:P31)</f>
        <v>350000</v>
      </c>
      <c r="R31" s="53"/>
      <c r="S31" s="53">
        <v>23809.66</v>
      </c>
      <c r="T31" s="53">
        <f>58237.56-S31</f>
        <v>34427.899999999994</v>
      </c>
      <c r="U31" s="53">
        <f>116246.56-S31-T31</f>
        <v>58009</v>
      </c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>
        <f t="shared" si="3"/>
        <v>116246.56</v>
      </c>
      <c r="AG31" s="53">
        <f t="shared" si="4"/>
        <v>33.213302857142857</v>
      </c>
      <c r="AH31" s="53">
        <f t="shared" si="2"/>
        <v>33.213302857142857</v>
      </c>
    </row>
    <row r="32" spans="1:34">
      <c r="A32" s="132" t="s">
        <v>73</v>
      </c>
      <c r="B32" s="32">
        <v>2112</v>
      </c>
      <c r="C32" s="49" t="s">
        <v>74</v>
      </c>
      <c r="D32" s="138">
        <v>350000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>
        <f t="shared" si="14"/>
        <v>350000</v>
      </c>
      <c r="R32" s="53"/>
      <c r="S32" s="53">
        <v>1304</v>
      </c>
      <c r="T32" s="53">
        <f>5107-S32</f>
        <v>3803</v>
      </c>
      <c r="U32" s="53">
        <f>10859-S32-T32</f>
        <v>5752</v>
      </c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>
        <f t="shared" si="3"/>
        <v>10859</v>
      </c>
      <c r="AG32" s="53">
        <f t="shared" si="4"/>
        <v>3.1025714285714283</v>
      </c>
      <c r="AH32" s="53">
        <f t="shared" si="2"/>
        <v>3.1025714285714283</v>
      </c>
    </row>
    <row r="33" spans="1:34">
      <c r="A33" s="132" t="s">
        <v>75</v>
      </c>
      <c r="B33" s="32">
        <v>2132</v>
      </c>
      <c r="C33" s="52" t="s">
        <v>40</v>
      </c>
      <c r="D33" s="52">
        <v>12000000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>
        <f t="shared" si="14"/>
        <v>12000000</v>
      </c>
      <c r="R33" s="46"/>
      <c r="S33" s="52">
        <v>1094744</v>
      </c>
      <c r="T33" s="189">
        <f>2126901-S33</f>
        <v>1032157</v>
      </c>
      <c r="U33" s="52">
        <f>3313063-S33-T33</f>
        <v>1186162</v>
      </c>
      <c r="V33" s="52"/>
      <c r="W33" s="52"/>
      <c r="X33" s="52"/>
      <c r="Y33" s="52"/>
      <c r="Z33" s="52"/>
      <c r="AA33" s="52"/>
      <c r="AB33" s="52"/>
      <c r="AC33" s="52"/>
      <c r="AD33" s="52"/>
      <c r="AE33" s="46"/>
      <c r="AF33" s="52">
        <f t="shared" si="3"/>
        <v>3313063</v>
      </c>
      <c r="AG33" s="52">
        <f t="shared" si="4"/>
        <v>27.608858333333337</v>
      </c>
      <c r="AH33" s="52">
        <f t="shared" si="2"/>
        <v>27.608858333333337</v>
      </c>
    </row>
    <row r="34" spans="1:34">
      <c r="A34" s="132" t="s">
        <v>76</v>
      </c>
      <c r="B34" s="32">
        <v>2111</v>
      </c>
      <c r="C34" s="52" t="s">
        <v>44</v>
      </c>
      <c r="D34" s="52">
        <v>200000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>
        <f t="shared" si="14"/>
        <v>200000</v>
      </c>
      <c r="R34" s="46"/>
      <c r="S34" s="52">
        <v>32490</v>
      </c>
      <c r="T34" s="52">
        <f>58368-S34</f>
        <v>25878</v>
      </c>
      <c r="U34" s="52">
        <f>69369-S34-T34</f>
        <v>11001</v>
      </c>
      <c r="V34" s="52"/>
      <c r="W34" s="52"/>
      <c r="X34" s="52"/>
      <c r="Y34" s="52"/>
      <c r="Z34" s="52"/>
      <c r="AA34" s="52"/>
      <c r="AB34" s="52"/>
      <c r="AC34" s="52"/>
      <c r="AD34" s="52"/>
      <c r="AE34" s="46"/>
      <c r="AF34" s="52">
        <f t="shared" si="3"/>
        <v>69369</v>
      </c>
      <c r="AG34" s="52">
        <f t="shared" si="4"/>
        <v>34.6845</v>
      </c>
      <c r="AH34" s="52">
        <f t="shared" si="2"/>
        <v>34.6845</v>
      </c>
    </row>
    <row r="35" spans="1:34">
      <c r="A35" s="132" t="s">
        <v>77</v>
      </c>
      <c r="B35" s="32">
        <v>2111</v>
      </c>
      <c r="C35" s="52" t="s">
        <v>45</v>
      </c>
      <c r="D35" s="52">
        <v>100000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>
        <f t="shared" si="14"/>
        <v>100000</v>
      </c>
      <c r="R35" s="46"/>
      <c r="S35" s="52">
        <v>8602</v>
      </c>
      <c r="T35" s="52">
        <f>16000-S35</f>
        <v>7398</v>
      </c>
      <c r="U35" s="52">
        <f>25448-S35-T35</f>
        <v>9448</v>
      </c>
      <c r="V35" s="52"/>
      <c r="W35" s="52"/>
      <c r="X35" s="52"/>
      <c r="Y35" s="52"/>
      <c r="Z35" s="52"/>
      <c r="AA35" s="52"/>
      <c r="AB35" s="52"/>
      <c r="AC35" s="52"/>
      <c r="AD35" s="52"/>
      <c r="AE35" s="46"/>
      <c r="AF35" s="52">
        <f t="shared" si="3"/>
        <v>25448</v>
      </c>
      <c r="AG35" s="52">
        <f t="shared" si="4"/>
        <v>25.447999999999997</v>
      </c>
      <c r="AH35" s="52">
        <f t="shared" si="2"/>
        <v>25.447999999999997</v>
      </c>
    </row>
    <row r="36" spans="1:34">
      <c r="A36" s="132" t="s">
        <v>78</v>
      </c>
      <c r="B36" s="32">
        <v>2131</v>
      </c>
      <c r="C36" s="52" t="s">
        <v>38</v>
      </c>
      <c r="D36" s="52">
        <v>200000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>
        <f t="shared" si="14"/>
        <v>200000</v>
      </c>
      <c r="R36" s="46"/>
      <c r="S36" s="52">
        <v>8303</v>
      </c>
      <c r="T36" s="52">
        <f>37454-S36</f>
        <v>29151</v>
      </c>
      <c r="U36" s="52">
        <f>61643-S36-T36</f>
        <v>24189</v>
      </c>
      <c r="V36" s="52"/>
      <c r="W36" s="52"/>
      <c r="X36" s="52"/>
      <c r="Y36" s="52"/>
      <c r="Z36" s="52"/>
      <c r="AA36" s="52"/>
      <c r="AB36" s="52"/>
      <c r="AC36" s="52"/>
      <c r="AD36" s="52"/>
      <c r="AE36" s="46"/>
      <c r="AF36" s="52">
        <f t="shared" si="3"/>
        <v>61643</v>
      </c>
      <c r="AG36" s="52">
        <f t="shared" si="4"/>
        <v>30.8215</v>
      </c>
      <c r="AH36" s="52">
        <f t="shared" si="2"/>
        <v>30.8215</v>
      </c>
    </row>
    <row r="37" spans="1:34">
      <c r="A37" s="132" t="s">
        <v>78</v>
      </c>
      <c r="B37" s="32">
        <v>2132</v>
      </c>
      <c r="C37" s="52" t="s">
        <v>39</v>
      </c>
      <c r="D37" s="52">
        <v>1600000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>
        <f t="shared" si="14"/>
        <v>1600000</v>
      </c>
      <c r="R37" s="46"/>
      <c r="S37" s="52">
        <v>240550</v>
      </c>
      <c r="T37" s="52">
        <f>262849.5-S37</f>
        <v>22299.5</v>
      </c>
      <c r="U37" s="52">
        <f>363177.5-S37-T37</f>
        <v>100328</v>
      </c>
      <c r="V37" s="52"/>
      <c r="W37" s="52"/>
      <c r="X37" s="52"/>
      <c r="Y37" s="52"/>
      <c r="Z37" s="52"/>
      <c r="AA37" s="52"/>
      <c r="AB37" s="52"/>
      <c r="AC37" s="52"/>
      <c r="AD37" s="52"/>
      <c r="AE37" s="46"/>
      <c r="AF37" s="52">
        <f t="shared" si="3"/>
        <v>363177.5</v>
      </c>
      <c r="AG37" s="52">
        <f t="shared" si="4"/>
        <v>22.698593750000001</v>
      </c>
      <c r="AH37" s="52">
        <f t="shared" si="2"/>
        <v>22.698593750000001</v>
      </c>
    </row>
    <row r="38" spans="1:34">
      <c r="A38" s="135"/>
      <c r="B38" s="32"/>
      <c r="C38" s="52" t="s">
        <v>79</v>
      </c>
      <c r="D38" s="51">
        <f>SUM(D39:D40)</f>
        <v>50000</v>
      </c>
      <c r="E38" s="52">
        <f t="shared" ref="E38:I38" si="15">SUM(E39+E40)</f>
        <v>0</v>
      </c>
      <c r="F38" s="52">
        <f t="shared" si="15"/>
        <v>0</v>
      </c>
      <c r="G38" s="52">
        <f t="shared" si="15"/>
        <v>0</v>
      </c>
      <c r="H38" s="52">
        <f t="shared" si="15"/>
        <v>0</v>
      </c>
      <c r="I38" s="52">
        <f t="shared" si="15"/>
        <v>0</v>
      </c>
      <c r="J38" s="52">
        <f t="shared" ref="J38:Q38" si="16">SUM(J39+J40)</f>
        <v>0</v>
      </c>
      <c r="K38" s="52">
        <f t="shared" si="16"/>
        <v>0</v>
      </c>
      <c r="L38" s="52">
        <f t="shared" si="16"/>
        <v>0</v>
      </c>
      <c r="M38" s="52">
        <f t="shared" si="16"/>
        <v>0</v>
      </c>
      <c r="N38" s="52">
        <f t="shared" si="16"/>
        <v>0</v>
      </c>
      <c r="O38" s="52">
        <f t="shared" si="16"/>
        <v>0</v>
      </c>
      <c r="P38" s="52">
        <f t="shared" si="16"/>
        <v>0</v>
      </c>
      <c r="Q38" s="51">
        <f t="shared" si="16"/>
        <v>50000</v>
      </c>
      <c r="R38" s="46"/>
      <c r="S38" s="52">
        <f>SUM(S39+S40)</f>
        <v>3530.89</v>
      </c>
      <c r="T38" s="52">
        <f t="shared" ref="T38:AD38" si="17">SUM(T39+T40)</f>
        <v>3324.4500000000003</v>
      </c>
      <c r="U38" s="52">
        <f t="shared" si="17"/>
        <v>3930.14</v>
      </c>
      <c r="V38" s="52">
        <f t="shared" si="17"/>
        <v>0</v>
      </c>
      <c r="W38" s="52">
        <f t="shared" si="17"/>
        <v>0</v>
      </c>
      <c r="X38" s="52">
        <f t="shared" si="17"/>
        <v>0</v>
      </c>
      <c r="Y38" s="52">
        <f t="shared" si="17"/>
        <v>0</v>
      </c>
      <c r="Z38" s="52">
        <f t="shared" si="17"/>
        <v>0</v>
      </c>
      <c r="AA38" s="52">
        <f t="shared" si="17"/>
        <v>0</v>
      </c>
      <c r="AB38" s="52">
        <f t="shared" si="17"/>
        <v>0</v>
      </c>
      <c r="AC38" s="52">
        <f t="shared" si="17"/>
        <v>0</v>
      </c>
      <c r="AD38" s="52">
        <f t="shared" si="17"/>
        <v>0</v>
      </c>
      <c r="AE38" s="46"/>
      <c r="AF38" s="52">
        <f t="shared" si="3"/>
        <v>10785.48</v>
      </c>
      <c r="AG38" s="52">
        <f t="shared" si="4"/>
        <v>21.570959999999999</v>
      </c>
      <c r="AH38" s="52">
        <f t="shared" ref="AH38:AH70" si="18">(AF38/Q38)*100</f>
        <v>21.570959999999999</v>
      </c>
    </row>
    <row r="39" spans="1:34">
      <c r="A39" s="132" t="s">
        <v>80</v>
      </c>
      <c r="B39" s="32">
        <v>2141</v>
      </c>
      <c r="C39" s="54" t="s">
        <v>79</v>
      </c>
      <c r="D39" s="138">
        <v>45000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>
        <f>SUM(D39:P39)</f>
        <v>45000</v>
      </c>
      <c r="R39" s="53"/>
      <c r="S39" s="53">
        <v>3530.89</v>
      </c>
      <c r="T39" s="53">
        <f>6855.34-S39</f>
        <v>3324.4500000000003</v>
      </c>
      <c r="U39" s="53">
        <f>10785.48-S39-T39</f>
        <v>3930.14</v>
      </c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>
        <f t="shared" si="3"/>
        <v>10785.48</v>
      </c>
      <c r="AG39" s="53">
        <f t="shared" si="4"/>
        <v>23.967733333333332</v>
      </c>
      <c r="AH39" s="53">
        <f t="shared" si="18"/>
        <v>23.967733333333332</v>
      </c>
    </row>
    <row r="40" spans="1:34">
      <c r="A40" s="132" t="s">
        <v>80</v>
      </c>
      <c r="B40" s="33">
        <v>2324</v>
      </c>
      <c r="C40" s="54" t="s">
        <v>81</v>
      </c>
      <c r="D40" s="138">
        <v>5000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>
        <f>SUM(D40:P40)</f>
        <v>5000</v>
      </c>
      <c r="R40" s="53"/>
      <c r="S40" s="53"/>
      <c r="T40" s="53"/>
      <c r="U40" s="53"/>
      <c r="V40" s="140"/>
      <c r="W40" s="140"/>
      <c r="X40" s="140"/>
      <c r="Y40" s="140"/>
      <c r="Z40" s="140"/>
      <c r="AA40" s="140"/>
      <c r="AB40" s="140"/>
      <c r="AC40" s="53"/>
      <c r="AD40" s="53"/>
      <c r="AE40" s="53"/>
      <c r="AF40" s="53">
        <f t="shared" si="3"/>
        <v>0</v>
      </c>
      <c r="AG40" s="53">
        <f t="shared" si="4"/>
        <v>0</v>
      </c>
      <c r="AH40" s="53">
        <f t="shared" si="18"/>
        <v>0</v>
      </c>
    </row>
    <row r="41" spans="1:34">
      <c r="A41" s="135"/>
      <c r="B41" s="147"/>
      <c r="C41" s="52" t="s">
        <v>46</v>
      </c>
      <c r="D41" s="51">
        <f>SUM(D42:D73)</f>
        <v>13512000</v>
      </c>
      <c r="E41" s="52">
        <f t="shared" ref="E41:Q41" si="19">SUM(E42:E73)</f>
        <v>0</v>
      </c>
      <c r="F41" s="52">
        <f t="shared" si="19"/>
        <v>0</v>
      </c>
      <c r="G41" s="52">
        <f t="shared" si="19"/>
        <v>0</v>
      </c>
      <c r="H41" s="52">
        <f t="shared" si="19"/>
        <v>0</v>
      </c>
      <c r="I41" s="52">
        <f t="shared" si="19"/>
        <v>0</v>
      </c>
      <c r="J41" s="52">
        <f t="shared" si="19"/>
        <v>0</v>
      </c>
      <c r="K41" s="52">
        <f t="shared" si="19"/>
        <v>0</v>
      </c>
      <c r="L41" s="52">
        <f t="shared" si="19"/>
        <v>0</v>
      </c>
      <c r="M41" s="52">
        <f t="shared" si="19"/>
        <v>0</v>
      </c>
      <c r="N41" s="52">
        <f t="shared" si="19"/>
        <v>0</v>
      </c>
      <c r="O41" s="52">
        <f t="shared" si="19"/>
        <v>0</v>
      </c>
      <c r="P41" s="52">
        <f t="shared" si="19"/>
        <v>0</v>
      </c>
      <c r="Q41" s="51">
        <f t="shared" si="19"/>
        <v>13512000</v>
      </c>
      <c r="R41" s="46"/>
      <c r="S41" s="52">
        <f t="shared" ref="S41:AD41" si="20">SUM(S42:S73)</f>
        <v>439586.83</v>
      </c>
      <c r="T41" s="52">
        <f t="shared" si="20"/>
        <v>2894697.44</v>
      </c>
      <c r="U41" s="52">
        <f t="shared" si="20"/>
        <v>276901.5</v>
      </c>
      <c r="V41" s="52">
        <f t="shared" si="20"/>
        <v>0</v>
      </c>
      <c r="W41" s="52">
        <f t="shared" si="20"/>
        <v>0</v>
      </c>
      <c r="X41" s="52">
        <f t="shared" si="20"/>
        <v>0</v>
      </c>
      <c r="Y41" s="52">
        <f t="shared" si="20"/>
        <v>0</v>
      </c>
      <c r="Z41" s="52">
        <f t="shared" si="20"/>
        <v>0</v>
      </c>
      <c r="AA41" s="52">
        <f t="shared" si="20"/>
        <v>0</v>
      </c>
      <c r="AB41" s="52">
        <f t="shared" si="20"/>
        <v>0</v>
      </c>
      <c r="AC41" s="52">
        <f t="shared" si="20"/>
        <v>0</v>
      </c>
      <c r="AD41" s="52">
        <f t="shared" si="20"/>
        <v>0</v>
      </c>
      <c r="AE41" s="46"/>
      <c r="AF41" s="52">
        <f t="shared" si="3"/>
        <v>3611185.77</v>
      </c>
      <c r="AG41" s="52">
        <f t="shared" si="4"/>
        <v>26.725767984014208</v>
      </c>
      <c r="AH41" s="52">
        <f t="shared" si="18"/>
        <v>26.725767984014208</v>
      </c>
    </row>
    <row r="42" spans="1:34" s="150" customFormat="1">
      <c r="A42" s="174" t="s">
        <v>65</v>
      </c>
      <c r="B42" s="175">
        <v>2420</v>
      </c>
      <c r="C42" s="176" t="s">
        <v>137</v>
      </c>
      <c r="D42" s="148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>
        <f>SUM(D42:P42)</f>
        <v>0</v>
      </c>
      <c r="R42" s="55"/>
      <c r="S42" s="55"/>
      <c r="T42" s="140"/>
      <c r="U42" s="55"/>
      <c r="V42" s="140"/>
      <c r="W42" s="140"/>
      <c r="X42" s="140"/>
      <c r="Y42" s="140"/>
      <c r="Z42" s="140"/>
      <c r="AA42" s="140"/>
      <c r="AB42" s="140"/>
      <c r="AC42" s="55"/>
      <c r="AD42" s="55"/>
      <c r="AE42" s="149"/>
      <c r="AF42" s="53">
        <f t="shared" si="3"/>
        <v>0</v>
      </c>
      <c r="AG42" s="144">
        <v>0</v>
      </c>
      <c r="AH42" s="53" t="e">
        <f t="shared" si="18"/>
        <v>#DIV/0!</v>
      </c>
    </row>
    <row r="43" spans="1:34">
      <c r="A43" s="141" t="s">
        <v>82</v>
      </c>
      <c r="B43" s="34">
        <v>2111</v>
      </c>
      <c r="C43" s="49" t="s">
        <v>347</v>
      </c>
      <c r="D43" s="138">
        <v>5000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>
        <f t="shared" ref="Q43:Q73" si="21">SUM(D43:P43)</f>
        <v>5000</v>
      </c>
      <c r="R43" s="55"/>
      <c r="S43" s="55"/>
      <c r="T43" s="55">
        <f>500-S43</f>
        <v>500</v>
      </c>
      <c r="U43" s="55">
        <f>2120-S43-T43</f>
        <v>1620</v>
      </c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3">
        <f t="shared" si="3"/>
        <v>2120</v>
      </c>
      <c r="AG43" s="144">
        <f t="shared" si="4"/>
        <v>42.4</v>
      </c>
      <c r="AH43" s="53">
        <f t="shared" si="18"/>
        <v>42.4</v>
      </c>
    </row>
    <row r="44" spans="1:34">
      <c r="A44" s="141" t="s">
        <v>83</v>
      </c>
      <c r="B44" s="34">
        <v>2212</v>
      </c>
      <c r="C44" s="49" t="s">
        <v>84</v>
      </c>
      <c r="D44" s="138">
        <v>2000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>
        <f t="shared" si="21"/>
        <v>2000</v>
      </c>
      <c r="R44" s="55"/>
      <c r="S44" s="55">
        <v>500</v>
      </c>
      <c r="T44" s="55">
        <f>500-S44</f>
        <v>0</v>
      </c>
      <c r="U44" s="140">
        <f>800-S44-T44</f>
        <v>300</v>
      </c>
      <c r="V44" s="140"/>
      <c r="W44" s="140"/>
      <c r="X44" s="140"/>
      <c r="Y44" s="55"/>
      <c r="Z44" s="140"/>
      <c r="AA44" s="140"/>
      <c r="AB44" s="140"/>
      <c r="AC44" s="55"/>
      <c r="AD44" s="55"/>
      <c r="AE44" s="55"/>
      <c r="AF44" s="53">
        <f t="shared" si="3"/>
        <v>800</v>
      </c>
      <c r="AG44" s="53">
        <f t="shared" si="4"/>
        <v>40</v>
      </c>
      <c r="AH44" s="53">
        <f t="shared" si="18"/>
        <v>40</v>
      </c>
    </row>
    <row r="45" spans="1:34">
      <c r="A45" s="141" t="s">
        <v>85</v>
      </c>
      <c r="B45" s="34">
        <v>2212</v>
      </c>
      <c r="C45" s="49" t="s">
        <v>86</v>
      </c>
      <c r="D45" s="138">
        <v>5400000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>
        <f t="shared" si="21"/>
        <v>5400000</v>
      </c>
      <c r="R45" s="55"/>
      <c r="S45" s="55">
        <v>224451.5</v>
      </c>
      <c r="T45" s="55">
        <f>487560.5-S45</f>
        <v>263109</v>
      </c>
      <c r="U45" s="55">
        <f>750432-S45-T45</f>
        <v>262871.5</v>
      </c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3">
        <f t="shared" si="3"/>
        <v>750432</v>
      </c>
      <c r="AG45" s="53">
        <f t="shared" si="4"/>
        <v>13.896888888888888</v>
      </c>
      <c r="AH45" s="53">
        <f t="shared" si="18"/>
        <v>13.896888888888888</v>
      </c>
    </row>
    <row r="46" spans="1:34">
      <c r="A46" s="141" t="s">
        <v>87</v>
      </c>
      <c r="B46" s="34">
        <v>2132</v>
      </c>
      <c r="C46" s="49" t="s">
        <v>88</v>
      </c>
      <c r="D46" s="138"/>
      <c r="E46" s="55"/>
      <c r="F46" s="55">
        <v>500000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>
        <f t="shared" si="21"/>
        <v>500000</v>
      </c>
      <c r="R46" s="55"/>
      <c r="S46" s="55"/>
      <c r="T46" s="55">
        <f>484000-S46</f>
        <v>484000</v>
      </c>
      <c r="U46" s="140">
        <v>0</v>
      </c>
      <c r="V46" s="140"/>
      <c r="W46" s="140"/>
      <c r="X46" s="140"/>
      <c r="Y46" s="140"/>
      <c r="Z46" s="140"/>
      <c r="AA46" s="140"/>
      <c r="AB46" s="140"/>
      <c r="AC46" s="55"/>
      <c r="AD46" s="55"/>
      <c r="AE46" s="55"/>
      <c r="AF46" s="53">
        <f t="shared" si="3"/>
        <v>484000</v>
      </c>
      <c r="AG46" s="144" t="e">
        <f t="shared" si="4"/>
        <v>#DIV/0!</v>
      </c>
      <c r="AH46" s="53">
        <f t="shared" si="18"/>
        <v>96.8</v>
      </c>
    </row>
    <row r="47" spans="1:34">
      <c r="A47" s="141" t="s">
        <v>89</v>
      </c>
      <c r="B47" s="34">
        <v>2212</v>
      </c>
      <c r="C47" s="49" t="s">
        <v>90</v>
      </c>
      <c r="D47" s="138">
        <v>30000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>
        <f t="shared" si="21"/>
        <v>30000</v>
      </c>
      <c r="R47" s="55"/>
      <c r="S47" s="55"/>
      <c r="T47" s="55"/>
      <c r="U47" s="140"/>
      <c r="V47" s="140"/>
      <c r="W47" s="140"/>
      <c r="X47" s="140"/>
      <c r="Y47" s="140"/>
      <c r="Z47" s="140"/>
      <c r="AA47" s="55"/>
      <c r="AB47" s="55"/>
      <c r="AC47" s="55"/>
      <c r="AD47" s="55"/>
      <c r="AE47" s="55"/>
      <c r="AF47" s="53">
        <f t="shared" si="3"/>
        <v>0</v>
      </c>
      <c r="AG47" s="144">
        <f t="shared" si="4"/>
        <v>0</v>
      </c>
      <c r="AH47" s="53">
        <f t="shared" si="18"/>
        <v>0</v>
      </c>
    </row>
    <row r="48" spans="1:34">
      <c r="A48" s="141" t="s">
        <v>91</v>
      </c>
      <c r="B48" s="34">
        <v>2111</v>
      </c>
      <c r="C48" s="49" t="s">
        <v>92</v>
      </c>
      <c r="D48" s="138">
        <v>40000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>
        <f t="shared" si="21"/>
        <v>40000</v>
      </c>
      <c r="R48" s="55"/>
      <c r="S48" s="55"/>
      <c r="T48" s="55"/>
      <c r="U48" s="140"/>
      <c r="V48" s="140"/>
      <c r="W48" s="140"/>
      <c r="X48" s="140"/>
      <c r="Y48" s="55"/>
      <c r="Z48" s="55"/>
      <c r="AA48" s="55"/>
      <c r="AB48" s="140"/>
      <c r="AC48" s="55"/>
      <c r="AD48" s="55"/>
      <c r="AE48" s="55"/>
      <c r="AF48" s="53">
        <f t="shared" si="3"/>
        <v>0</v>
      </c>
      <c r="AG48" s="144">
        <f t="shared" si="4"/>
        <v>0</v>
      </c>
      <c r="AH48" s="53">
        <f t="shared" si="18"/>
        <v>0</v>
      </c>
    </row>
    <row r="49" spans="1:34" s="150" customFormat="1">
      <c r="A49" s="174" t="s">
        <v>138</v>
      </c>
      <c r="B49" s="177">
        <v>2111</v>
      </c>
      <c r="C49" s="176" t="s">
        <v>139</v>
      </c>
      <c r="D49" s="148">
        <v>2000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>
        <f t="shared" si="21"/>
        <v>2000</v>
      </c>
      <c r="R49" s="55"/>
      <c r="S49" s="55"/>
      <c r="T49" s="55"/>
      <c r="U49" s="55"/>
      <c r="V49" s="140"/>
      <c r="W49" s="140"/>
      <c r="X49" s="140"/>
      <c r="Y49" s="140"/>
      <c r="Z49" s="140"/>
      <c r="AA49" s="140"/>
      <c r="AB49" s="140"/>
      <c r="AC49" s="55"/>
      <c r="AD49" s="55"/>
      <c r="AE49" s="149"/>
      <c r="AF49" s="53">
        <f t="shared" si="3"/>
        <v>0</v>
      </c>
      <c r="AG49" s="144">
        <v>0</v>
      </c>
      <c r="AH49" s="53">
        <f t="shared" si="18"/>
        <v>0</v>
      </c>
    </row>
    <row r="50" spans="1:34">
      <c r="A50" s="141" t="s">
        <v>93</v>
      </c>
      <c r="B50" s="34">
        <v>2119</v>
      </c>
      <c r="C50" s="49" t="s">
        <v>94</v>
      </c>
      <c r="D50" s="138">
        <v>30000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>
        <f t="shared" si="21"/>
        <v>30000</v>
      </c>
      <c r="R50" s="55"/>
      <c r="S50" s="55">
        <v>1510</v>
      </c>
      <c r="T50" s="55">
        <f>1510-S50</f>
        <v>0</v>
      </c>
      <c r="U50" s="55">
        <v>0</v>
      </c>
      <c r="V50" s="55"/>
      <c r="W50" s="140"/>
      <c r="X50" s="55"/>
      <c r="Y50" s="55"/>
      <c r="Z50" s="140"/>
      <c r="AA50" s="55"/>
      <c r="AB50" s="140"/>
      <c r="AC50" s="55"/>
      <c r="AD50" s="55"/>
      <c r="AE50" s="55"/>
      <c r="AF50" s="53">
        <f t="shared" si="3"/>
        <v>1510</v>
      </c>
      <c r="AG50" s="144">
        <v>0</v>
      </c>
      <c r="AH50" s="53">
        <f t="shared" si="18"/>
        <v>5.0333333333333332</v>
      </c>
    </row>
    <row r="51" spans="1:34" hidden="1">
      <c r="A51" s="141" t="s">
        <v>95</v>
      </c>
      <c r="B51" s="34">
        <v>2212</v>
      </c>
      <c r="C51" s="49" t="s">
        <v>96</v>
      </c>
      <c r="D51" s="138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>
        <f t="shared" si="21"/>
        <v>0</v>
      </c>
      <c r="R51" s="55"/>
      <c r="S51" s="55"/>
      <c r="T51" s="55"/>
      <c r="U51" s="140"/>
      <c r="V51" s="55"/>
      <c r="W51" s="140"/>
      <c r="X51" s="55"/>
      <c r="Y51" s="55"/>
      <c r="Z51" s="55"/>
      <c r="AA51" s="55"/>
      <c r="AB51" s="55"/>
      <c r="AC51" s="55"/>
      <c r="AD51" s="55"/>
      <c r="AE51" s="55"/>
      <c r="AF51" s="53">
        <f t="shared" si="3"/>
        <v>0</v>
      </c>
      <c r="AG51" s="144">
        <v>0</v>
      </c>
      <c r="AH51" s="53" t="e">
        <f t="shared" si="18"/>
        <v>#DIV/0!</v>
      </c>
    </row>
    <row r="52" spans="1:34">
      <c r="A52" s="141" t="s">
        <v>97</v>
      </c>
      <c r="B52" s="34">
        <v>2329</v>
      </c>
      <c r="C52" s="49" t="s">
        <v>98</v>
      </c>
      <c r="D52" s="138">
        <v>350000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>
        <f t="shared" si="21"/>
        <v>350000</v>
      </c>
      <c r="R52" s="55"/>
      <c r="S52" s="55">
        <v>4221.8</v>
      </c>
      <c r="T52" s="55">
        <f>4221.8-S52</f>
        <v>0</v>
      </c>
      <c r="U52" s="55">
        <v>0</v>
      </c>
      <c r="V52" s="55"/>
      <c r="W52" s="140"/>
      <c r="X52" s="140"/>
      <c r="Y52" s="55"/>
      <c r="Z52" s="140"/>
      <c r="AA52" s="55"/>
      <c r="AB52" s="55"/>
      <c r="AC52" s="55"/>
      <c r="AD52" s="55"/>
      <c r="AE52" s="55"/>
      <c r="AF52" s="53">
        <f t="shared" si="3"/>
        <v>4221.8</v>
      </c>
      <c r="AG52" s="53">
        <f t="shared" si="4"/>
        <v>1.2062285714285714</v>
      </c>
      <c r="AH52" s="53">
        <f t="shared" si="18"/>
        <v>1.2062285714285714</v>
      </c>
    </row>
    <row r="53" spans="1:34">
      <c r="A53" s="141" t="s">
        <v>99</v>
      </c>
      <c r="B53" s="34">
        <v>2212</v>
      </c>
      <c r="C53" s="49" t="s">
        <v>100</v>
      </c>
      <c r="D53" s="138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>
        <f t="shared" si="21"/>
        <v>0</v>
      </c>
      <c r="R53" s="55"/>
      <c r="S53" s="55"/>
      <c r="T53" s="55"/>
      <c r="U53" s="140"/>
      <c r="V53" s="55"/>
      <c r="W53" s="55"/>
      <c r="X53" s="55"/>
      <c r="Y53" s="55"/>
      <c r="Z53" s="55"/>
      <c r="AA53" s="55"/>
      <c r="AB53" s="140"/>
      <c r="AC53" s="55"/>
      <c r="AD53" s="55"/>
      <c r="AE53" s="55"/>
      <c r="AF53" s="53">
        <f t="shared" si="3"/>
        <v>0</v>
      </c>
      <c r="AG53" s="144">
        <v>0</v>
      </c>
      <c r="AH53" s="53" t="e">
        <f t="shared" si="18"/>
        <v>#DIV/0!</v>
      </c>
    </row>
    <row r="54" spans="1:34" hidden="1">
      <c r="A54" s="141" t="s">
        <v>101</v>
      </c>
      <c r="B54" s="34">
        <v>2212</v>
      </c>
      <c r="C54" s="49" t="s">
        <v>102</v>
      </c>
      <c r="D54" s="138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>
        <f t="shared" si="21"/>
        <v>0</v>
      </c>
      <c r="R54" s="55"/>
      <c r="S54" s="55"/>
      <c r="T54" s="55"/>
      <c r="U54" s="140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3">
        <f t="shared" si="3"/>
        <v>0</v>
      </c>
      <c r="AG54" s="144">
        <v>0</v>
      </c>
      <c r="AH54" s="53" t="e">
        <f t="shared" si="18"/>
        <v>#DIV/0!</v>
      </c>
    </row>
    <row r="55" spans="1:34">
      <c r="A55" s="141" t="s">
        <v>103</v>
      </c>
      <c r="B55" s="34">
        <v>2212</v>
      </c>
      <c r="C55" s="49" t="s">
        <v>104</v>
      </c>
      <c r="D55" s="138">
        <v>32000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>
        <f t="shared" si="21"/>
        <v>32000</v>
      </c>
      <c r="R55" s="55"/>
      <c r="S55" s="55">
        <v>3000</v>
      </c>
      <c r="T55" s="55">
        <f>6000-S55</f>
        <v>3000</v>
      </c>
      <c r="U55" s="55">
        <v>0</v>
      </c>
      <c r="V55" s="140"/>
      <c r="W55" s="55"/>
      <c r="X55" s="140"/>
      <c r="Y55" s="140"/>
      <c r="Z55" s="55"/>
      <c r="AA55" s="140"/>
      <c r="AB55" s="55"/>
      <c r="AC55" s="55"/>
      <c r="AD55" s="55"/>
      <c r="AE55" s="55"/>
      <c r="AF55" s="53">
        <f t="shared" si="3"/>
        <v>6000</v>
      </c>
      <c r="AG55" s="144">
        <v>0</v>
      </c>
      <c r="AH55" s="53">
        <f t="shared" si="18"/>
        <v>18.75</v>
      </c>
    </row>
    <row r="56" spans="1:34" s="153" customFormat="1" ht="32.25" customHeight="1">
      <c r="A56" s="174" t="s">
        <v>140</v>
      </c>
      <c r="B56" s="175">
        <v>2324</v>
      </c>
      <c r="C56" s="176" t="s">
        <v>343</v>
      </c>
      <c r="D56" s="151">
        <v>500000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>
        <f t="shared" si="21"/>
        <v>500000</v>
      </c>
      <c r="R56" s="55"/>
      <c r="S56" s="55"/>
      <c r="T56" s="55">
        <f>482070-S56</f>
        <v>482070</v>
      </c>
      <c r="U56" s="55">
        <v>0</v>
      </c>
      <c r="V56" s="140"/>
      <c r="W56" s="140"/>
      <c r="X56" s="140"/>
      <c r="Y56" s="55"/>
      <c r="Z56" s="140"/>
      <c r="AA56" s="140"/>
      <c r="AB56" s="55"/>
      <c r="AC56" s="55"/>
      <c r="AD56" s="55"/>
      <c r="AE56" s="152"/>
      <c r="AF56" s="53">
        <f t="shared" si="3"/>
        <v>482070</v>
      </c>
      <c r="AG56" s="144">
        <v>0</v>
      </c>
      <c r="AH56" s="53">
        <f t="shared" si="18"/>
        <v>96.414000000000001</v>
      </c>
    </row>
    <row r="57" spans="1:34">
      <c r="A57" s="141" t="s">
        <v>105</v>
      </c>
      <c r="B57" s="34">
        <v>2329</v>
      </c>
      <c r="C57" s="49" t="s">
        <v>106</v>
      </c>
      <c r="D57" s="138">
        <v>1000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>
        <f t="shared" si="21"/>
        <v>1000</v>
      </c>
      <c r="R57" s="55"/>
      <c r="S57" s="55"/>
      <c r="T57" s="55"/>
      <c r="U57" s="55">
        <v>32</v>
      </c>
      <c r="V57" s="55"/>
      <c r="W57" s="55"/>
      <c r="X57" s="55"/>
      <c r="Y57" s="55"/>
      <c r="Z57" s="55"/>
      <c r="AA57" s="140"/>
      <c r="AB57" s="140"/>
      <c r="AC57" s="55"/>
      <c r="AD57" s="55"/>
      <c r="AE57" s="55"/>
      <c r="AF57" s="53">
        <f t="shared" si="3"/>
        <v>32</v>
      </c>
      <c r="AG57" s="144">
        <v>0</v>
      </c>
      <c r="AH57" s="53">
        <f t="shared" si="18"/>
        <v>3.2</v>
      </c>
    </row>
    <row r="58" spans="1:34">
      <c r="A58" s="141" t="s">
        <v>107</v>
      </c>
      <c r="B58" s="34">
        <v>2212</v>
      </c>
      <c r="C58" s="49" t="s">
        <v>108</v>
      </c>
      <c r="D58" s="138">
        <v>20000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>
        <f t="shared" si="21"/>
        <v>20000</v>
      </c>
      <c r="R58" s="55"/>
      <c r="S58" s="55">
        <v>500</v>
      </c>
      <c r="T58" s="55">
        <f>4763-S58</f>
        <v>4263</v>
      </c>
      <c r="U58" s="55">
        <f>5663-S58-T58</f>
        <v>900</v>
      </c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3">
        <f t="shared" si="3"/>
        <v>5663</v>
      </c>
      <c r="AG58" s="53">
        <f t="shared" si="4"/>
        <v>28.315000000000001</v>
      </c>
      <c r="AH58" s="53">
        <f t="shared" si="18"/>
        <v>28.315000000000001</v>
      </c>
    </row>
    <row r="59" spans="1:34" s="127" customFormat="1" hidden="1">
      <c r="A59" s="141" t="s">
        <v>109</v>
      </c>
      <c r="B59" s="35">
        <v>2111</v>
      </c>
      <c r="C59" s="49" t="s">
        <v>110</v>
      </c>
      <c r="D59" s="138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>
        <f t="shared" si="21"/>
        <v>0</v>
      </c>
      <c r="R59" s="55"/>
      <c r="S59" s="55"/>
      <c r="T59" s="55"/>
      <c r="U59" s="140"/>
      <c r="V59" s="55"/>
      <c r="W59" s="55"/>
      <c r="X59" s="55"/>
      <c r="Y59" s="55"/>
      <c r="Z59" s="55"/>
      <c r="AA59" s="55"/>
      <c r="AB59" s="55"/>
      <c r="AC59" s="55"/>
      <c r="AD59" s="55"/>
      <c r="AE59" s="145"/>
      <c r="AF59" s="53">
        <f t="shared" si="3"/>
        <v>0</v>
      </c>
      <c r="AG59" s="144">
        <v>0</v>
      </c>
      <c r="AH59" s="53" t="e">
        <f t="shared" si="18"/>
        <v>#DIV/0!</v>
      </c>
    </row>
    <row r="60" spans="1:34">
      <c r="A60" s="141" t="s">
        <v>78</v>
      </c>
      <c r="B60" s="34">
        <v>2111</v>
      </c>
      <c r="C60" s="49" t="s">
        <v>111</v>
      </c>
      <c r="D60" s="138">
        <v>700000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>
        <f t="shared" si="21"/>
        <v>700000</v>
      </c>
      <c r="R60" s="55"/>
      <c r="S60" s="55">
        <v>46855</v>
      </c>
      <c r="T60" s="55">
        <f>96112-S60</f>
        <v>49257</v>
      </c>
      <c r="U60" s="55">
        <f>100492-S60-T60</f>
        <v>4380</v>
      </c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3">
        <f>SUM(S60:AD60)</f>
        <v>100492</v>
      </c>
      <c r="AG60" s="53">
        <f t="shared" si="4"/>
        <v>14.356</v>
      </c>
      <c r="AH60" s="53">
        <f t="shared" si="18"/>
        <v>14.356</v>
      </c>
    </row>
    <row r="61" spans="1:34">
      <c r="A61" s="141" t="s">
        <v>78</v>
      </c>
      <c r="B61" s="34">
        <v>2112</v>
      </c>
      <c r="C61" s="49" t="s">
        <v>349</v>
      </c>
      <c r="D61" s="138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>
        <f t="shared" si="21"/>
        <v>0</v>
      </c>
      <c r="R61" s="55"/>
      <c r="S61" s="55"/>
      <c r="T61" s="55"/>
      <c r="U61" s="55"/>
      <c r="V61" s="55"/>
      <c r="W61" s="55"/>
      <c r="X61" s="55"/>
      <c r="Y61" s="55"/>
      <c r="Z61" s="55"/>
      <c r="AA61" s="140"/>
      <c r="AB61" s="140"/>
      <c r="AC61" s="55"/>
      <c r="AD61" s="55"/>
      <c r="AE61" s="55"/>
      <c r="AF61" s="53">
        <f>SUM(S61:AD61)</f>
        <v>0</v>
      </c>
      <c r="AG61" s="53" t="e">
        <f>(AF61/D61)*100</f>
        <v>#DIV/0!</v>
      </c>
      <c r="AH61" s="53" t="e">
        <f>(AF61/Q61)*100</f>
        <v>#DIV/0!</v>
      </c>
    </row>
    <row r="62" spans="1:34" s="150" customFormat="1">
      <c r="A62" s="174" t="s">
        <v>78</v>
      </c>
      <c r="B62" s="175">
        <v>2119</v>
      </c>
      <c r="C62" s="178" t="s">
        <v>141</v>
      </c>
      <c r="D62" s="148"/>
      <c r="E62" s="55">
        <v>5000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>
        <f t="shared" si="21"/>
        <v>5000</v>
      </c>
      <c r="R62" s="55"/>
      <c r="S62" s="55">
        <v>2483</v>
      </c>
      <c r="T62" s="55">
        <f>2483-S62</f>
        <v>0</v>
      </c>
      <c r="U62" s="55">
        <v>0</v>
      </c>
      <c r="V62" s="55"/>
      <c r="W62" s="140"/>
      <c r="X62" s="140"/>
      <c r="Y62" s="140"/>
      <c r="Z62" s="140"/>
      <c r="AA62" s="140"/>
      <c r="AB62" s="140"/>
      <c r="AC62" s="55"/>
      <c r="AD62" s="55"/>
      <c r="AE62" s="152"/>
      <c r="AF62" s="53">
        <f t="shared" si="3"/>
        <v>2483</v>
      </c>
      <c r="AG62" s="53" t="e">
        <f>(AF62/D62)*100</f>
        <v>#DIV/0!</v>
      </c>
      <c r="AH62" s="53">
        <f>(AF62/Q62)*100</f>
        <v>49.66</v>
      </c>
    </row>
    <row r="63" spans="1:34" s="127" customFormat="1">
      <c r="A63" s="141" t="s">
        <v>78</v>
      </c>
      <c r="B63" s="34">
        <v>2212</v>
      </c>
      <c r="C63" s="49" t="s">
        <v>112</v>
      </c>
      <c r="D63" s="138">
        <v>100000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>
        <f t="shared" si="21"/>
        <v>100000</v>
      </c>
      <c r="R63" s="55"/>
      <c r="S63" s="55">
        <v>10000</v>
      </c>
      <c r="T63" s="55">
        <f>62656.83-S63</f>
        <v>52656.83</v>
      </c>
      <c r="U63" s="55">
        <f>62656.83-S63-T63</f>
        <v>0</v>
      </c>
      <c r="V63" s="55"/>
      <c r="W63" s="55"/>
      <c r="X63" s="140"/>
      <c r="Y63" s="140"/>
      <c r="Z63" s="140"/>
      <c r="AA63" s="140"/>
      <c r="AB63" s="140"/>
      <c r="AC63" s="55"/>
      <c r="AD63" s="55"/>
      <c r="AE63" s="55"/>
      <c r="AF63" s="53">
        <f t="shared" si="3"/>
        <v>62656.83</v>
      </c>
      <c r="AG63" s="53">
        <f t="shared" si="4"/>
        <v>62.656829999999999</v>
      </c>
      <c r="AH63" s="53">
        <f t="shared" si="18"/>
        <v>62.656829999999999</v>
      </c>
    </row>
    <row r="64" spans="1:34" hidden="1">
      <c r="A64" s="141" t="s">
        <v>78</v>
      </c>
      <c r="B64" s="34">
        <v>2222</v>
      </c>
      <c r="C64" s="49" t="s">
        <v>113</v>
      </c>
      <c r="D64" s="138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>
        <f t="shared" si="21"/>
        <v>0</v>
      </c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3">
        <f t="shared" si="3"/>
        <v>0</v>
      </c>
      <c r="AG64" s="144">
        <v>0</v>
      </c>
      <c r="AH64" s="53" t="e">
        <f t="shared" si="18"/>
        <v>#DIV/0!</v>
      </c>
    </row>
    <row r="65" spans="1:34" s="127" customFormat="1">
      <c r="A65" s="141" t="s">
        <v>78</v>
      </c>
      <c r="B65" s="34">
        <v>2321</v>
      </c>
      <c r="C65" s="49" t="s">
        <v>114</v>
      </c>
      <c r="D65" s="138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>
        <f t="shared" si="21"/>
        <v>0</v>
      </c>
      <c r="R65" s="55"/>
      <c r="S65" s="55"/>
      <c r="T65" s="55"/>
      <c r="U65" s="55"/>
      <c r="V65" s="55"/>
      <c r="W65" s="55"/>
      <c r="X65" s="55"/>
      <c r="Y65" s="55"/>
      <c r="Z65" s="140"/>
      <c r="AA65" s="140"/>
      <c r="AB65" s="140"/>
      <c r="AC65" s="55"/>
      <c r="AD65" s="55"/>
      <c r="AE65" s="55"/>
      <c r="AF65" s="53">
        <f t="shared" si="3"/>
        <v>0</v>
      </c>
      <c r="AG65" s="144">
        <v>0</v>
      </c>
      <c r="AH65" s="53" t="e">
        <f t="shared" si="18"/>
        <v>#DIV/0!</v>
      </c>
    </row>
    <row r="66" spans="1:34">
      <c r="A66" s="132" t="s">
        <v>78</v>
      </c>
      <c r="B66" s="34">
        <v>2322</v>
      </c>
      <c r="C66" s="49" t="s">
        <v>115</v>
      </c>
      <c r="D66" s="138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>
        <f t="shared" si="21"/>
        <v>0</v>
      </c>
      <c r="R66" s="55"/>
      <c r="S66" s="55"/>
      <c r="T66" s="55"/>
      <c r="U66" s="140"/>
      <c r="V66" s="55"/>
      <c r="W66" s="55"/>
      <c r="X66" s="55"/>
      <c r="Y66" s="140"/>
      <c r="Z66" s="140"/>
      <c r="AA66" s="55"/>
      <c r="AB66" s="140"/>
      <c r="AC66" s="55"/>
      <c r="AD66" s="55"/>
      <c r="AE66" s="55"/>
      <c r="AF66" s="53">
        <f t="shared" si="3"/>
        <v>0</v>
      </c>
      <c r="AG66" s="144">
        <v>0</v>
      </c>
      <c r="AH66" s="53" t="e">
        <f t="shared" si="18"/>
        <v>#DIV/0!</v>
      </c>
    </row>
    <row r="67" spans="1:34">
      <c r="A67" s="132" t="s">
        <v>78</v>
      </c>
      <c r="B67" s="34">
        <v>2324</v>
      </c>
      <c r="C67" s="49" t="s">
        <v>116</v>
      </c>
      <c r="D67" s="138">
        <v>500000</v>
      </c>
      <c r="E67" s="55"/>
      <c r="F67" s="55">
        <v>600000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>
        <f t="shared" si="21"/>
        <v>1100000</v>
      </c>
      <c r="R67" s="55"/>
      <c r="S67" s="55">
        <v>25252.3</v>
      </c>
      <c r="T67" s="55">
        <f>1048006.74-S67</f>
        <v>1022754.44</v>
      </c>
      <c r="U67" s="55">
        <f>1051354.74-S67-T67</f>
        <v>3348</v>
      </c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79">
        <f t="shared" si="3"/>
        <v>1051354.74</v>
      </c>
      <c r="AG67" s="79">
        <f t="shared" si="4"/>
        <v>210.270948</v>
      </c>
      <c r="AH67" s="79">
        <f t="shared" si="18"/>
        <v>95.577703636363637</v>
      </c>
    </row>
    <row r="68" spans="1:34">
      <c r="A68" s="132" t="s">
        <v>78</v>
      </c>
      <c r="B68" s="34">
        <v>2329</v>
      </c>
      <c r="C68" s="49" t="s">
        <v>117</v>
      </c>
      <c r="D68" s="138">
        <v>200000</v>
      </c>
      <c r="E68" s="55">
        <v>-5000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>
        <f t="shared" si="21"/>
        <v>195000</v>
      </c>
      <c r="R68" s="55"/>
      <c r="S68" s="55">
        <v>0.4</v>
      </c>
      <c r="T68" s="55">
        <f>0.4-S68</f>
        <v>0</v>
      </c>
      <c r="U68" s="55">
        <v>0</v>
      </c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3">
        <f t="shared" si="3"/>
        <v>0.4</v>
      </c>
      <c r="AG68" s="53">
        <f t="shared" si="4"/>
        <v>1.9999999999999998E-4</v>
      </c>
      <c r="AH68" s="53">
        <f t="shared" si="18"/>
        <v>2.0512820512820514E-4</v>
      </c>
    </row>
    <row r="69" spans="1:34">
      <c r="A69" s="132" t="s">
        <v>78</v>
      </c>
      <c r="B69" s="34">
        <v>3111</v>
      </c>
      <c r="C69" s="49" t="s">
        <v>118</v>
      </c>
      <c r="D69" s="138">
        <v>3000000</v>
      </c>
      <c r="E69" s="55"/>
      <c r="F69" s="55">
        <v>-1100000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>
        <f t="shared" si="21"/>
        <v>1900000</v>
      </c>
      <c r="R69" s="55"/>
      <c r="S69" s="55">
        <v>316200</v>
      </c>
      <c r="T69" s="55">
        <f>318900-S69</f>
        <v>2700</v>
      </c>
      <c r="U69" s="55">
        <f>321600-S69-T69</f>
        <v>2700</v>
      </c>
      <c r="V69" s="55"/>
      <c r="W69" s="55"/>
      <c r="X69" s="55"/>
      <c r="Y69" s="140"/>
      <c r="Z69" s="55"/>
      <c r="AA69" s="140"/>
      <c r="AB69" s="55"/>
      <c r="AC69" s="55"/>
      <c r="AD69" s="55"/>
      <c r="AE69" s="55"/>
      <c r="AF69" s="53">
        <f t="shared" si="3"/>
        <v>321600</v>
      </c>
      <c r="AG69" s="53">
        <f t="shared" si="4"/>
        <v>10.72</v>
      </c>
      <c r="AH69" s="53">
        <f t="shared" si="18"/>
        <v>16.926315789473684</v>
      </c>
    </row>
    <row r="70" spans="1:34">
      <c r="A70" s="132" t="s">
        <v>78</v>
      </c>
      <c r="B70" s="34">
        <v>3112</v>
      </c>
      <c r="C70" s="49" t="s">
        <v>119</v>
      </c>
      <c r="D70" s="138">
        <v>2500000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>
        <f t="shared" si="21"/>
        <v>2500000</v>
      </c>
      <c r="R70" s="55"/>
      <c r="S70" s="55">
        <v>260000</v>
      </c>
      <c r="T70" s="55">
        <f>335000-S70</f>
        <v>75000</v>
      </c>
      <c r="U70" s="55">
        <v>0</v>
      </c>
      <c r="V70" s="140"/>
      <c r="W70" s="55"/>
      <c r="X70" s="55"/>
      <c r="Y70" s="55"/>
      <c r="Z70" s="140"/>
      <c r="AA70" s="55"/>
      <c r="AB70" s="55"/>
      <c r="AC70" s="55"/>
      <c r="AD70" s="55"/>
      <c r="AE70" s="55"/>
      <c r="AF70" s="53">
        <f t="shared" si="3"/>
        <v>335000</v>
      </c>
      <c r="AG70" s="53">
        <f t="shared" si="4"/>
        <v>13.4</v>
      </c>
      <c r="AH70" s="53">
        <f t="shared" si="18"/>
        <v>13.4</v>
      </c>
    </row>
    <row r="71" spans="1:34" hidden="1">
      <c r="A71" s="132" t="s">
        <v>78</v>
      </c>
      <c r="B71" s="34">
        <v>3113</v>
      </c>
      <c r="C71" s="49" t="s">
        <v>120</v>
      </c>
      <c r="D71" s="138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>
        <f t="shared" si="21"/>
        <v>0</v>
      </c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3">
        <f t="shared" si="3"/>
        <v>0</v>
      </c>
      <c r="AG71" s="144">
        <v>0</v>
      </c>
      <c r="AH71" s="53" t="e">
        <f t="shared" ref="AH71:AH91" si="22">(AF71/Q71)*100</f>
        <v>#DIV/0!</v>
      </c>
    </row>
    <row r="72" spans="1:34" hidden="1">
      <c r="A72" s="132" t="s">
        <v>121</v>
      </c>
      <c r="B72" s="34">
        <v>2222</v>
      </c>
      <c r="C72" s="49" t="s">
        <v>122</v>
      </c>
      <c r="D72" s="138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>
        <f t="shared" si="21"/>
        <v>0</v>
      </c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3">
        <f t="shared" ref="AF72:AF90" si="23">SUM(S72:AD72)</f>
        <v>0</v>
      </c>
      <c r="AG72" s="144">
        <v>0</v>
      </c>
      <c r="AH72" s="53" t="e">
        <f t="shared" si="22"/>
        <v>#DIV/0!</v>
      </c>
    </row>
    <row r="73" spans="1:34">
      <c r="A73" s="132" t="s">
        <v>123</v>
      </c>
      <c r="B73" s="34">
        <v>2328</v>
      </c>
      <c r="C73" s="49" t="s">
        <v>124</v>
      </c>
      <c r="D73" s="138">
        <v>100000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>
        <f t="shared" si="21"/>
        <v>100000</v>
      </c>
      <c r="R73" s="55"/>
      <c r="S73" s="55">
        <v>-455387.17</v>
      </c>
      <c r="T73" s="55">
        <f>0-S73</f>
        <v>455387.17</v>
      </c>
      <c r="U73" s="55">
        <v>750</v>
      </c>
      <c r="V73" s="55"/>
      <c r="W73" s="55"/>
      <c r="X73" s="55"/>
      <c r="Y73" s="55"/>
      <c r="Z73" s="55"/>
      <c r="AA73" s="55"/>
      <c r="AB73" s="140"/>
      <c r="AC73" s="55"/>
      <c r="AD73" s="55"/>
      <c r="AE73" s="55"/>
      <c r="AF73" s="53">
        <f t="shared" si="23"/>
        <v>750</v>
      </c>
      <c r="AG73" s="53">
        <f>(AF73/D73)*100</f>
        <v>0.75</v>
      </c>
      <c r="AH73" s="53">
        <f t="shared" si="22"/>
        <v>0.75</v>
      </c>
    </row>
    <row r="74" spans="1:34" ht="18" hidden="1">
      <c r="A74" s="135"/>
      <c r="B74" s="147"/>
      <c r="C74" s="56" t="s">
        <v>47</v>
      </c>
      <c r="D74" s="154">
        <f>D6+D27</f>
        <v>75007000</v>
      </c>
      <c r="E74" s="57">
        <f t="shared" ref="E74:Q74" si="24">E6+E27</f>
        <v>0</v>
      </c>
      <c r="F74" s="57">
        <f t="shared" si="24"/>
        <v>0</v>
      </c>
      <c r="G74" s="57">
        <f t="shared" si="24"/>
        <v>0</v>
      </c>
      <c r="H74" s="57">
        <f t="shared" si="24"/>
        <v>0</v>
      </c>
      <c r="I74" s="57">
        <f t="shared" si="24"/>
        <v>0</v>
      </c>
      <c r="J74" s="57">
        <f t="shared" si="24"/>
        <v>0</v>
      </c>
      <c r="K74" s="57">
        <f t="shared" si="24"/>
        <v>0</v>
      </c>
      <c r="L74" s="57">
        <f t="shared" si="24"/>
        <v>0</v>
      </c>
      <c r="M74" s="57">
        <f t="shared" si="24"/>
        <v>0</v>
      </c>
      <c r="N74" s="57">
        <f t="shared" si="24"/>
        <v>0</v>
      </c>
      <c r="O74" s="57">
        <f t="shared" si="24"/>
        <v>0</v>
      </c>
      <c r="P74" s="57">
        <f t="shared" si="24"/>
        <v>0</v>
      </c>
      <c r="Q74" s="154">
        <f t="shared" si="24"/>
        <v>75007000</v>
      </c>
      <c r="R74" s="44"/>
      <c r="S74" s="57">
        <f t="shared" ref="S74:AD74" si="25">S6+S27</f>
        <v>5508784.5999999996</v>
      </c>
      <c r="T74" s="57">
        <f t="shared" si="25"/>
        <v>8689808.9800000004</v>
      </c>
      <c r="U74" s="57">
        <f t="shared" si="25"/>
        <v>4432084.2699999996</v>
      </c>
      <c r="V74" s="57">
        <f t="shared" si="25"/>
        <v>0</v>
      </c>
      <c r="W74" s="57">
        <f t="shared" si="25"/>
        <v>0</v>
      </c>
      <c r="X74" s="57">
        <f t="shared" si="25"/>
        <v>0</v>
      </c>
      <c r="Y74" s="57">
        <f t="shared" si="25"/>
        <v>0</v>
      </c>
      <c r="Z74" s="57">
        <f t="shared" si="25"/>
        <v>0</v>
      </c>
      <c r="AA74" s="57">
        <f t="shared" si="25"/>
        <v>0</v>
      </c>
      <c r="AB74" s="57">
        <f t="shared" si="25"/>
        <v>0</v>
      </c>
      <c r="AC74" s="57">
        <f t="shared" si="25"/>
        <v>0</v>
      </c>
      <c r="AD74" s="57">
        <f t="shared" si="25"/>
        <v>0</v>
      </c>
      <c r="AE74" s="44"/>
      <c r="AF74" s="57">
        <f t="shared" si="23"/>
        <v>18630677.850000001</v>
      </c>
      <c r="AG74" s="57">
        <f>(AF74/D74)*100</f>
        <v>24.838585532017014</v>
      </c>
      <c r="AH74" s="57">
        <f t="shared" si="22"/>
        <v>24.838585532017014</v>
      </c>
    </row>
    <row r="75" spans="1:34" ht="18">
      <c r="A75" s="135"/>
      <c r="B75" s="155"/>
      <c r="C75" s="58" t="s">
        <v>48</v>
      </c>
      <c r="D75" s="167">
        <f>SUM(D76:D84)</f>
        <v>11638500</v>
      </c>
      <c r="E75" s="58">
        <f t="shared" ref="E75:Q75" si="26">SUM(E76:E85)</f>
        <v>0</v>
      </c>
      <c r="F75" s="58">
        <f t="shared" si="26"/>
        <v>474130</v>
      </c>
      <c r="G75" s="58">
        <f t="shared" si="26"/>
        <v>36300</v>
      </c>
      <c r="H75" s="58">
        <f t="shared" si="26"/>
        <v>0</v>
      </c>
      <c r="I75" s="58">
        <f t="shared" si="26"/>
        <v>0</v>
      </c>
      <c r="J75" s="58">
        <f t="shared" si="26"/>
        <v>0</v>
      </c>
      <c r="K75" s="58">
        <f t="shared" si="26"/>
        <v>0</v>
      </c>
      <c r="L75" s="58">
        <f t="shared" si="26"/>
        <v>0</v>
      </c>
      <c r="M75" s="58">
        <f t="shared" si="26"/>
        <v>0</v>
      </c>
      <c r="N75" s="58">
        <f t="shared" si="26"/>
        <v>0</v>
      </c>
      <c r="O75" s="58">
        <f t="shared" si="26"/>
        <v>0</v>
      </c>
      <c r="P75" s="58">
        <f t="shared" si="26"/>
        <v>0</v>
      </c>
      <c r="Q75" s="167">
        <f t="shared" si="26"/>
        <v>12148930</v>
      </c>
      <c r="R75" s="59"/>
      <c r="S75" s="58">
        <f t="shared" ref="S75:AD75" si="27">SUM(S76:S85)</f>
        <v>1387810</v>
      </c>
      <c r="T75" s="58">
        <f t="shared" si="27"/>
        <v>1314295.4099999999</v>
      </c>
      <c r="U75" s="58">
        <f t="shared" si="27"/>
        <v>1546510.8</v>
      </c>
      <c r="V75" s="58">
        <f t="shared" si="27"/>
        <v>0</v>
      </c>
      <c r="W75" s="58">
        <f t="shared" si="27"/>
        <v>0</v>
      </c>
      <c r="X75" s="58">
        <f t="shared" si="27"/>
        <v>0</v>
      </c>
      <c r="Y75" s="58">
        <f t="shared" si="27"/>
        <v>0</v>
      </c>
      <c r="Z75" s="58">
        <f t="shared" si="27"/>
        <v>0</v>
      </c>
      <c r="AA75" s="58">
        <f t="shared" si="27"/>
        <v>0</v>
      </c>
      <c r="AB75" s="58">
        <f t="shared" si="27"/>
        <v>0</v>
      </c>
      <c r="AC75" s="58">
        <f t="shared" si="27"/>
        <v>0</v>
      </c>
      <c r="AD75" s="58">
        <f t="shared" si="27"/>
        <v>0</v>
      </c>
      <c r="AE75" s="59"/>
      <c r="AF75" s="58">
        <f t="shared" si="23"/>
        <v>4248616.21</v>
      </c>
      <c r="AG75" s="58">
        <f>(AF75/D75)*100</f>
        <v>36.504843493577347</v>
      </c>
      <c r="AH75" s="58">
        <f t="shared" si="22"/>
        <v>34.971114410898736</v>
      </c>
    </row>
    <row r="76" spans="1:34">
      <c r="A76" s="132" t="s">
        <v>65</v>
      </c>
      <c r="B76" s="32">
        <v>4111</v>
      </c>
      <c r="C76" s="156" t="s">
        <v>127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>
        <f>SUM(D76:P76)</f>
        <v>0</v>
      </c>
      <c r="R76" s="46"/>
      <c r="S76" s="60"/>
      <c r="T76" s="62"/>
      <c r="U76" s="62"/>
      <c r="V76" s="62"/>
      <c r="W76" s="60"/>
      <c r="X76" s="62"/>
      <c r="Y76" s="62"/>
      <c r="Z76" s="62"/>
      <c r="AA76" s="62"/>
      <c r="AB76" s="60"/>
      <c r="AC76" s="60"/>
      <c r="AD76" s="60"/>
      <c r="AE76" s="46"/>
      <c r="AF76" s="60">
        <f t="shared" si="23"/>
        <v>0</v>
      </c>
      <c r="AG76" s="65">
        <v>0</v>
      </c>
      <c r="AH76" s="60" t="e">
        <f t="shared" si="22"/>
        <v>#DIV/0!</v>
      </c>
    </row>
    <row r="77" spans="1:34">
      <c r="A77" s="132" t="s">
        <v>65</v>
      </c>
      <c r="B77" s="32">
        <v>4112</v>
      </c>
      <c r="C77" s="156" t="s">
        <v>128</v>
      </c>
      <c r="D77" s="60">
        <v>11240500</v>
      </c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>
        <f t="shared" ref="Q77:Q85" si="28">SUM(D77:P77)</f>
        <v>11240500</v>
      </c>
      <c r="R77" s="46"/>
      <c r="S77" s="60">
        <v>936458</v>
      </c>
      <c r="T77" s="60">
        <f>1872916-S77</f>
        <v>936458</v>
      </c>
      <c r="U77" s="60">
        <f>2809374-S77-T77</f>
        <v>936458</v>
      </c>
      <c r="V77" s="60"/>
      <c r="W77" s="60"/>
      <c r="X77" s="60"/>
      <c r="Y77" s="60"/>
      <c r="Z77" s="60"/>
      <c r="AA77" s="60"/>
      <c r="AB77" s="60"/>
      <c r="AC77" s="60"/>
      <c r="AD77" s="60"/>
      <c r="AE77" s="46"/>
      <c r="AF77" s="60">
        <f t="shared" si="23"/>
        <v>2809374</v>
      </c>
      <c r="AG77" s="60">
        <f>(AF77/D77)*100</f>
        <v>24.993318802544369</v>
      </c>
      <c r="AH77" s="60">
        <f t="shared" si="22"/>
        <v>24.993318802544369</v>
      </c>
    </row>
    <row r="78" spans="1:34">
      <c r="A78" s="132" t="s">
        <v>65</v>
      </c>
      <c r="B78" s="32">
        <v>4116</v>
      </c>
      <c r="C78" s="156" t="s">
        <v>129</v>
      </c>
      <c r="D78" s="60">
        <f>(48000*8)-16000</f>
        <v>368000</v>
      </c>
      <c r="E78" s="60"/>
      <c r="F78" s="60">
        <v>45560</v>
      </c>
      <c r="G78" s="60">
        <v>36300</v>
      </c>
      <c r="H78" s="60"/>
      <c r="I78" s="60"/>
      <c r="J78" s="60"/>
      <c r="K78" s="60"/>
      <c r="L78" s="60"/>
      <c r="M78" s="60"/>
      <c r="N78" s="60"/>
      <c r="O78" s="60"/>
      <c r="P78" s="60"/>
      <c r="Q78" s="60">
        <f t="shared" si="28"/>
        <v>449860</v>
      </c>
      <c r="R78" s="46"/>
      <c r="S78" s="60">
        <v>22780</v>
      </c>
      <c r="T78" s="62">
        <f>390780-S78</f>
        <v>368000</v>
      </c>
      <c r="U78" s="60">
        <f>651432.8-S78-T78</f>
        <v>260652.80000000005</v>
      </c>
      <c r="V78" s="60"/>
      <c r="W78" s="62"/>
      <c r="X78" s="60"/>
      <c r="Y78" s="60"/>
      <c r="Z78" s="60"/>
      <c r="AA78" s="60"/>
      <c r="AB78" s="60"/>
      <c r="AC78" s="60"/>
      <c r="AD78" s="60"/>
      <c r="AE78" s="46"/>
      <c r="AF78" s="60">
        <f t="shared" si="23"/>
        <v>651432.80000000005</v>
      </c>
      <c r="AG78" s="60">
        <f>(AF78/D78)*100</f>
        <v>177.01978260869566</v>
      </c>
      <c r="AH78" s="60">
        <f t="shared" si="22"/>
        <v>144.80789578980128</v>
      </c>
    </row>
    <row r="79" spans="1:34">
      <c r="A79" s="132" t="s">
        <v>65</v>
      </c>
      <c r="B79" s="32">
        <v>4121</v>
      </c>
      <c r="C79" s="156" t="s">
        <v>130</v>
      </c>
      <c r="D79" s="60">
        <v>30000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>
        <f t="shared" si="28"/>
        <v>30000</v>
      </c>
      <c r="R79" s="46"/>
      <c r="S79" s="60"/>
      <c r="T79" s="60">
        <f>9837.41-S79</f>
        <v>9837.41</v>
      </c>
      <c r="U79" s="60">
        <v>0</v>
      </c>
      <c r="V79" s="60"/>
      <c r="W79" s="60"/>
      <c r="X79" s="62"/>
      <c r="Y79" s="62"/>
      <c r="Z79" s="62"/>
      <c r="AA79" s="62"/>
      <c r="AB79" s="62"/>
      <c r="AC79" s="60"/>
      <c r="AD79" s="60"/>
      <c r="AE79" s="46"/>
      <c r="AF79" s="60">
        <f t="shared" si="23"/>
        <v>9837.41</v>
      </c>
      <c r="AG79" s="60">
        <f>(AF79/D79)*100</f>
        <v>32.791366666666669</v>
      </c>
      <c r="AH79" s="60">
        <f t="shared" si="22"/>
        <v>32.791366666666669</v>
      </c>
    </row>
    <row r="80" spans="1:34">
      <c r="A80" s="132" t="s">
        <v>65</v>
      </c>
      <c r="B80" s="32">
        <v>4122</v>
      </c>
      <c r="C80" s="156" t="s">
        <v>131</v>
      </c>
      <c r="D80" s="60"/>
      <c r="E80" s="60"/>
      <c r="F80" s="60">
        <v>428570</v>
      </c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>
        <f t="shared" si="28"/>
        <v>428570</v>
      </c>
      <c r="R80" s="46"/>
      <c r="S80" s="60">
        <v>428572</v>
      </c>
      <c r="T80" s="60">
        <f>428572-S80</f>
        <v>0</v>
      </c>
      <c r="U80" s="60">
        <v>0</v>
      </c>
      <c r="V80" s="62"/>
      <c r="W80" s="62"/>
      <c r="X80" s="62"/>
      <c r="Y80" s="62"/>
      <c r="Z80" s="62"/>
      <c r="AA80" s="62"/>
      <c r="AB80" s="60"/>
      <c r="AC80" s="60"/>
      <c r="AD80" s="60"/>
      <c r="AE80" s="46"/>
      <c r="AF80" s="60">
        <f t="shared" si="23"/>
        <v>428572</v>
      </c>
      <c r="AG80" s="65">
        <v>0</v>
      </c>
      <c r="AH80" s="60">
        <f t="shared" si="22"/>
        <v>100.00046666822222</v>
      </c>
    </row>
    <row r="81" spans="1:34" hidden="1">
      <c r="A81" s="132" t="s">
        <v>65</v>
      </c>
      <c r="B81" s="32">
        <v>4123</v>
      </c>
      <c r="C81" s="156" t="s">
        <v>132</v>
      </c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>
        <f t="shared" si="28"/>
        <v>0</v>
      </c>
      <c r="R81" s="46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46"/>
      <c r="AF81" s="60">
        <f t="shared" si="23"/>
        <v>0</v>
      </c>
      <c r="AG81" s="65">
        <v>0</v>
      </c>
      <c r="AH81" s="60" t="e">
        <f t="shared" si="22"/>
        <v>#DIV/0!</v>
      </c>
    </row>
    <row r="82" spans="1:34">
      <c r="A82" s="132" t="s">
        <v>65</v>
      </c>
      <c r="B82" s="32">
        <v>4213</v>
      </c>
      <c r="C82" s="156" t="s">
        <v>133</v>
      </c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>
        <f t="shared" si="28"/>
        <v>0</v>
      </c>
      <c r="R82" s="46"/>
      <c r="S82" s="60"/>
      <c r="T82" s="60"/>
      <c r="U82" s="60">
        <v>349400</v>
      </c>
      <c r="V82" s="60"/>
      <c r="W82" s="60"/>
      <c r="X82" s="60"/>
      <c r="Y82" s="62"/>
      <c r="Z82" s="62"/>
      <c r="AA82" s="62"/>
      <c r="AB82" s="62"/>
      <c r="AC82" s="60"/>
      <c r="AD82" s="60"/>
      <c r="AE82" s="46"/>
      <c r="AF82" s="60">
        <f t="shared" si="23"/>
        <v>349400</v>
      </c>
      <c r="AG82" s="65">
        <v>0</v>
      </c>
      <c r="AH82" s="60" t="e">
        <f t="shared" si="22"/>
        <v>#DIV/0!</v>
      </c>
    </row>
    <row r="83" spans="1:34">
      <c r="A83" s="132" t="s">
        <v>65</v>
      </c>
      <c r="B83" s="32">
        <v>4216</v>
      </c>
      <c r="C83" s="156" t="s">
        <v>134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>
        <f t="shared" si="28"/>
        <v>0</v>
      </c>
      <c r="R83" s="46"/>
      <c r="S83" s="60"/>
      <c r="T83" s="60"/>
      <c r="U83" s="60"/>
      <c r="V83" s="60"/>
      <c r="W83" s="60"/>
      <c r="X83" s="60"/>
      <c r="Y83" s="62"/>
      <c r="Z83" s="62"/>
      <c r="AA83" s="62"/>
      <c r="AB83" s="62"/>
      <c r="AC83" s="60"/>
      <c r="AD83" s="60"/>
      <c r="AE83" s="46"/>
      <c r="AF83" s="60">
        <f t="shared" si="23"/>
        <v>0</v>
      </c>
      <c r="AG83" s="65">
        <v>0</v>
      </c>
      <c r="AH83" s="60" t="e">
        <f t="shared" si="22"/>
        <v>#DIV/0!</v>
      </c>
    </row>
    <row r="84" spans="1:34">
      <c r="A84" s="132" t="s">
        <v>65</v>
      </c>
      <c r="B84" s="32">
        <v>4222</v>
      </c>
      <c r="C84" s="156" t="s">
        <v>135</v>
      </c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>
        <f t="shared" si="28"/>
        <v>0</v>
      </c>
      <c r="R84" s="46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46"/>
      <c r="AF84" s="60">
        <f t="shared" si="23"/>
        <v>0</v>
      </c>
      <c r="AG84" s="65">
        <v>0</v>
      </c>
      <c r="AH84" s="60" t="e">
        <f t="shared" si="22"/>
        <v>#DIV/0!</v>
      </c>
    </row>
    <row r="85" spans="1:34">
      <c r="A85" s="132" t="s">
        <v>65</v>
      </c>
      <c r="B85" s="32">
        <v>4223</v>
      </c>
      <c r="C85" s="156" t="s">
        <v>136</v>
      </c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>
        <f t="shared" si="28"/>
        <v>0</v>
      </c>
      <c r="R85" s="46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46"/>
      <c r="AF85" s="60">
        <f t="shared" si="23"/>
        <v>0</v>
      </c>
      <c r="AG85" s="65">
        <v>0</v>
      </c>
      <c r="AH85" s="60" t="e">
        <f t="shared" si="22"/>
        <v>#DIV/0!</v>
      </c>
    </row>
    <row r="86" spans="1:34" s="197" customFormat="1">
      <c r="A86" s="191"/>
      <c r="B86" s="192"/>
      <c r="C86" s="193"/>
      <c r="D86" s="19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6"/>
      <c r="AH86" s="195"/>
    </row>
    <row r="87" spans="1:34" s="127" customFormat="1" ht="18.75" customHeight="1">
      <c r="A87" s="141"/>
      <c r="B87" s="35"/>
      <c r="C87" s="61" t="s">
        <v>485</v>
      </c>
      <c r="D87" s="154">
        <f>D75+D74</f>
        <v>86645500</v>
      </c>
      <c r="E87" s="57">
        <f t="shared" ref="E87:AF87" si="29">E75+E74</f>
        <v>0</v>
      </c>
      <c r="F87" s="57">
        <f t="shared" si="29"/>
        <v>474130</v>
      </c>
      <c r="G87" s="57">
        <f t="shared" si="29"/>
        <v>36300</v>
      </c>
      <c r="H87" s="57">
        <f t="shared" si="29"/>
        <v>0</v>
      </c>
      <c r="I87" s="57">
        <f t="shared" si="29"/>
        <v>0</v>
      </c>
      <c r="J87" s="57">
        <f t="shared" si="29"/>
        <v>0</v>
      </c>
      <c r="K87" s="57">
        <f t="shared" si="29"/>
        <v>0</v>
      </c>
      <c r="L87" s="57">
        <f t="shared" si="29"/>
        <v>0</v>
      </c>
      <c r="M87" s="57">
        <f t="shared" si="29"/>
        <v>0</v>
      </c>
      <c r="N87" s="57">
        <f t="shared" si="29"/>
        <v>0</v>
      </c>
      <c r="O87" s="57">
        <f t="shared" si="29"/>
        <v>0</v>
      </c>
      <c r="P87" s="57">
        <f t="shared" si="29"/>
        <v>0</v>
      </c>
      <c r="Q87" s="154">
        <f t="shared" si="29"/>
        <v>87155930</v>
      </c>
      <c r="R87" s="57"/>
      <c r="S87" s="57">
        <f t="shared" si="29"/>
        <v>6896594.5999999996</v>
      </c>
      <c r="T87" s="57">
        <f t="shared" si="29"/>
        <v>10004104.390000001</v>
      </c>
      <c r="U87" s="57">
        <f t="shared" si="29"/>
        <v>5978595.0699999994</v>
      </c>
      <c r="V87" s="57">
        <f t="shared" si="29"/>
        <v>0</v>
      </c>
      <c r="W87" s="57">
        <f t="shared" si="29"/>
        <v>0</v>
      </c>
      <c r="X87" s="57">
        <f t="shared" si="29"/>
        <v>0</v>
      </c>
      <c r="Y87" s="57">
        <f t="shared" si="29"/>
        <v>0</v>
      </c>
      <c r="Z87" s="57">
        <f t="shared" si="29"/>
        <v>0</v>
      </c>
      <c r="AA87" s="57">
        <f t="shared" si="29"/>
        <v>0</v>
      </c>
      <c r="AB87" s="57">
        <f t="shared" si="29"/>
        <v>0</v>
      </c>
      <c r="AC87" s="57">
        <f t="shared" si="29"/>
        <v>0</v>
      </c>
      <c r="AD87" s="57">
        <f t="shared" si="29"/>
        <v>0</v>
      </c>
      <c r="AE87" s="57"/>
      <c r="AF87" s="57">
        <f t="shared" si="29"/>
        <v>22879294.060000002</v>
      </c>
      <c r="AG87" s="190"/>
      <c r="AH87" s="46"/>
    </row>
    <row r="88" spans="1:34" s="197" customFormat="1">
      <c r="A88" s="191"/>
      <c r="B88" s="192"/>
      <c r="C88" s="193"/>
      <c r="D88" s="19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6"/>
      <c r="AH88" s="195"/>
    </row>
    <row r="89" spans="1:34">
      <c r="A89" s="132" t="s">
        <v>484</v>
      </c>
      <c r="B89" s="32">
        <v>4134</v>
      </c>
      <c r="C89" s="54" t="s">
        <v>125</v>
      </c>
      <c r="D89" s="157"/>
      <c r="E89" s="185">
        <v>200000000</v>
      </c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>
        <f>SUM(D89:P89)</f>
        <v>200000000</v>
      </c>
      <c r="R89" s="158"/>
      <c r="S89" s="188">
        <v>10000000</v>
      </c>
      <c r="T89" s="157">
        <f>33257880.97-S89</f>
        <v>23257880.969999999</v>
      </c>
      <c r="U89" s="157">
        <f>37697027.24-S89-T89</f>
        <v>4439146.2700000033</v>
      </c>
      <c r="V89" s="157"/>
      <c r="W89" s="157"/>
      <c r="X89" s="157"/>
      <c r="Y89" s="157"/>
      <c r="Z89" s="157"/>
      <c r="AA89" s="157"/>
      <c r="AB89" s="157"/>
      <c r="AC89" s="157"/>
      <c r="AD89" s="157"/>
      <c r="AE89" s="158"/>
      <c r="AF89" s="157">
        <f t="shared" si="23"/>
        <v>37697027.240000002</v>
      </c>
      <c r="AG89" s="159">
        <v>0</v>
      </c>
      <c r="AH89" s="160">
        <f t="shared" si="22"/>
        <v>18.848513620000002</v>
      </c>
    </row>
    <row r="90" spans="1:34">
      <c r="A90" s="132" t="s">
        <v>484</v>
      </c>
      <c r="B90" s="31">
        <v>4139</v>
      </c>
      <c r="C90" s="54" t="s">
        <v>50</v>
      </c>
      <c r="D90" s="157">
        <v>600000</v>
      </c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>
        <f>SUM(D90:P90)</f>
        <v>600000</v>
      </c>
      <c r="R90" s="158"/>
      <c r="S90" s="188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>
        <f t="shared" si="23"/>
        <v>0</v>
      </c>
      <c r="AG90" s="159">
        <f>(AF90/D90)*100</f>
        <v>0</v>
      </c>
      <c r="AH90" s="160">
        <f t="shared" si="22"/>
        <v>0</v>
      </c>
    </row>
    <row r="91" spans="1:34" ht="20.25">
      <c r="A91" s="130"/>
      <c r="B91" s="130"/>
      <c r="C91" s="61" t="s">
        <v>49</v>
      </c>
      <c r="D91" s="165">
        <f>D74+D75+D89+D90</f>
        <v>87245500</v>
      </c>
      <c r="E91" s="186">
        <f t="shared" ref="E91:Q91" si="30">E74+E75+E89+E90</f>
        <v>200000000</v>
      </c>
      <c r="F91" s="57">
        <f t="shared" si="30"/>
        <v>474130</v>
      </c>
      <c r="G91" s="57">
        <f t="shared" si="30"/>
        <v>36300</v>
      </c>
      <c r="H91" s="57">
        <f t="shared" si="30"/>
        <v>0</v>
      </c>
      <c r="I91" s="57">
        <f t="shared" si="30"/>
        <v>0</v>
      </c>
      <c r="J91" s="57">
        <f t="shared" si="30"/>
        <v>0</v>
      </c>
      <c r="K91" s="57">
        <f t="shared" si="30"/>
        <v>0</v>
      </c>
      <c r="L91" s="57">
        <f t="shared" si="30"/>
        <v>0</v>
      </c>
      <c r="M91" s="57">
        <f t="shared" si="30"/>
        <v>0</v>
      </c>
      <c r="N91" s="57">
        <f t="shared" si="30"/>
        <v>0</v>
      </c>
      <c r="O91" s="57">
        <f t="shared" si="30"/>
        <v>0</v>
      </c>
      <c r="P91" s="57">
        <f t="shared" si="30"/>
        <v>0</v>
      </c>
      <c r="Q91" s="184">
        <f t="shared" si="30"/>
        <v>287755930</v>
      </c>
      <c r="R91" s="44"/>
      <c r="S91" s="57">
        <f t="shared" ref="S91:AD91" si="31">S74+S75+S89+S90</f>
        <v>16896594.600000001</v>
      </c>
      <c r="T91" s="57">
        <f t="shared" si="31"/>
        <v>33261985.359999999</v>
      </c>
      <c r="U91" s="57">
        <f t="shared" si="31"/>
        <v>10417741.340000004</v>
      </c>
      <c r="V91" s="57">
        <f t="shared" si="31"/>
        <v>0</v>
      </c>
      <c r="W91" s="57">
        <f t="shared" si="31"/>
        <v>0</v>
      </c>
      <c r="X91" s="57">
        <f t="shared" si="31"/>
        <v>0</v>
      </c>
      <c r="Y91" s="57">
        <f t="shared" si="31"/>
        <v>0</v>
      </c>
      <c r="Z91" s="57">
        <f t="shared" si="31"/>
        <v>0</v>
      </c>
      <c r="AA91" s="57">
        <f t="shared" si="31"/>
        <v>0</v>
      </c>
      <c r="AB91" s="57">
        <f t="shared" si="31"/>
        <v>0</v>
      </c>
      <c r="AC91" s="57">
        <f t="shared" si="31"/>
        <v>0</v>
      </c>
      <c r="AD91" s="57">
        <f t="shared" si="31"/>
        <v>0</v>
      </c>
      <c r="AE91" s="44"/>
      <c r="AF91" s="201">
        <f>AF74+AF75+AF89+AF90</f>
        <v>60576321.300000004</v>
      </c>
      <c r="AG91" s="57">
        <f>(AF91/D91)*100</f>
        <v>69.432029502954322</v>
      </c>
      <c r="AH91" s="57">
        <f t="shared" si="22"/>
        <v>21.051285129032792</v>
      </c>
    </row>
    <row r="92" spans="1:34">
      <c r="D92" s="161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7"/>
    </row>
    <row r="93" spans="1:34">
      <c r="D93" s="161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7"/>
    </row>
    <row r="95" spans="1:34">
      <c r="U95" s="199" t="s">
        <v>488</v>
      </c>
      <c r="AF95" s="163">
        <f>AF91-60576321.3</f>
        <v>0</v>
      </c>
    </row>
    <row r="98" spans="23:23">
      <c r="W98" s="163"/>
    </row>
  </sheetData>
  <sheetProtection password="CC33" sheet="1" objects="1" scenarios="1"/>
  <mergeCells count="1">
    <mergeCell ref="A1:C2"/>
  </mergeCells>
  <conditionalFormatting sqref="AG6:AH91">
    <cfRule type="cellIs" dxfId="0" priority="2" operator="greaterThan">
      <formula>100</formula>
    </cfRule>
  </conditionalFormatting>
  <pageMargins left="0" right="0" top="0.78740157480314965" bottom="0.78740157480314965" header="0.31496062992125984" footer="0.31496062992125984"/>
  <pageSetup paperSize="8" scale="84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9"/>
  <sheetViews>
    <sheetView zoomScaleNormal="100" workbookViewId="0">
      <selection activeCell="A7" sqref="A7"/>
    </sheetView>
  </sheetViews>
  <sheetFormatPr defaultRowHeight="12.75"/>
  <cols>
    <col min="1" max="1" width="66.85546875" style="252" customWidth="1"/>
    <col min="2" max="6" width="17" style="206" customWidth="1"/>
    <col min="7" max="8" width="12.7109375" style="206" customWidth="1"/>
    <col min="9" max="236" width="9.140625" style="206"/>
    <col min="237" max="237" width="9.140625" style="206" customWidth="1"/>
    <col min="238" max="238" width="34.42578125" style="206" customWidth="1"/>
    <col min="239" max="247" width="9.140625" style="206" customWidth="1"/>
    <col min="248" max="248" width="12.5703125" style="206" customWidth="1"/>
    <col min="249" max="249" width="13.85546875" style="206" customWidth="1"/>
    <col min="250" max="250" width="13.7109375" style="206" customWidth="1"/>
    <col min="251" max="251" width="12" style="206" customWidth="1"/>
    <col min="252" max="492" width="9.140625" style="206"/>
    <col min="493" max="493" width="9.140625" style="206" customWidth="1"/>
    <col min="494" max="494" width="34.42578125" style="206" customWidth="1"/>
    <col min="495" max="503" width="9.140625" style="206" customWidth="1"/>
    <col min="504" max="504" width="12.5703125" style="206" customWidth="1"/>
    <col min="505" max="505" width="13.85546875" style="206" customWidth="1"/>
    <col min="506" max="506" width="13.7109375" style="206" customWidth="1"/>
    <col min="507" max="507" width="12" style="206" customWidth="1"/>
    <col min="508" max="748" width="9.140625" style="206"/>
    <col min="749" max="749" width="9.140625" style="206" customWidth="1"/>
    <col min="750" max="750" width="34.42578125" style="206" customWidth="1"/>
    <col min="751" max="759" width="9.140625" style="206" customWidth="1"/>
    <col min="760" max="760" width="12.5703125" style="206" customWidth="1"/>
    <col min="761" max="761" width="13.85546875" style="206" customWidth="1"/>
    <col min="762" max="762" width="13.7109375" style="206" customWidth="1"/>
    <col min="763" max="763" width="12" style="206" customWidth="1"/>
    <col min="764" max="1004" width="9.140625" style="206"/>
    <col min="1005" max="1005" width="9.140625" style="206" customWidth="1"/>
    <col min="1006" max="1006" width="34.42578125" style="206" customWidth="1"/>
    <col min="1007" max="1015" width="9.140625" style="206" customWidth="1"/>
    <col min="1016" max="1016" width="12.5703125" style="206" customWidth="1"/>
    <col min="1017" max="1017" width="13.85546875" style="206" customWidth="1"/>
    <col min="1018" max="1018" width="13.7109375" style="206" customWidth="1"/>
    <col min="1019" max="1019" width="12" style="206" customWidth="1"/>
    <col min="1020" max="1260" width="9.140625" style="206"/>
    <col min="1261" max="1261" width="9.140625" style="206" customWidth="1"/>
    <col min="1262" max="1262" width="34.42578125" style="206" customWidth="1"/>
    <col min="1263" max="1271" width="9.140625" style="206" customWidth="1"/>
    <col min="1272" max="1272" width="12.5703125" style="206" customWidth="1"/>
    <col min="1273" max="1273" width="13.85546875" style="206" customWidth="1"/>
    <col min="1274" max="1274" width="13.7109375" style="206" customWidth="1"/>
    <col min="1275" max="1275" width="12" style="206" customWidth="1"/>
    <col min="1276" max="1516" width="9.140625" style="206"/>
    <col min="1517" max="1517" width="9.140625" style="206" customWidth="1"/>
    <col min="1518" max="1518" width="34.42578125" style="206" customWidth="1"/>
    <col min="1519" max="1527" width="9.140625" style="206" customWidth="1"/>
    <col min="1528" max="1528" width="12.5703125" style="206" customWidth="1"/>
    <col min="1529" max="1529" width="13.85546875" style="206" customWidth="1"/>
    <col min="1530" max="1530" width="13.7109375" style="206" customWidth="1"/>
    <col min="1531" max="1531" width="12" style="206" customWidth="1"/>
    <col min="1532" max="1772" width="9.140625" style="206"/>
    <col min="1773" max="1773" width="9.140625" style="206" customWidth="1"/>
    <col min="1774" max="1774" width="34.42578125" style="206" customWidth="1"/>
    <col min="1775" max="1783" width="9.140625" style="206" customWidth="1"/>
    <col min="1784" max="1784" width="12.5703125" style="206" customWidth="1"/>
    <col min="1785" max="1785" width="13.85546875" style="206" customWidth="1"/>
    <col min="1786" max="1786" width="13.7109375" style="206" customWidth="1"/>
    <col min="1787" max="1787" width="12" style="206" customWidth="1"/>
    <col min="1788" max="2028" width="9.140625" style="206"/>
    <col min="2029" max="2029" width="9.140625" style="206" customWidth="1"/>
    <col min="2030" max="2030" width="34.42578125" style="206" customWidth="1"/>
    <col min="2031" max="2039" width="9.140625" style="206" customWidth="1"/>
    <col min="2040" max="2040" width="12.5703125" style="206" customWidth="1"/>
    <col min="2041" max="2041" width="13.85546875" style="206" customWidth="1"/>
    <col min="2042" max="2042" width="13.7109375" style="206" customWidth="1"/>
    <col min="2043" max="2043" width="12" style="206" customWidth="1"/>
    <col min="2044" max="2284" width="9.140625" style="206"/>
    <col min="2285" max="2285" width="9.140625" style="206" customWidth="1"/>
    <col min="2286" max="2286" width="34.42578125" style="206" customWidth="1"/>
    <col min="2287" max="2295" width="9.140625" style="206" customWidth="1"/>
    <col min="2296" max="2296" width="12.5703125" style="206" customWidth="1"/>
    <col min="2297" max="2297" width="13.85546875" style="206" customWidth="1"/>
    <col min="2298" max="2298" width="13.7109375" style="206" customWidth="1"/>
    <col min="2299" max="2299" width="12" style="206" customWidth="1"/>
    <col min="2300" max="2540" width="9.140625" style="206"/>
    <col min="2541" max="2541" width="9.140625" style="206" customWidth="1"/>
    <col min="2542" max="2542" width="34.42578125" style="206" customWidth="1"/>
    <col min="2543" max="2551" width="9.140625" style="206" customWidth="1"/>
    <col min="2552" max="2552" width="12.5703125" style="206" customWidth="1"/>
    <col min="2553" max="2553" width="13.85546875" style="206" customWidth="1"/>
    <col min="2554" max="2554" width="13.7109375" style="206" customWidth="1"/>
    <col min="2555" max="2555" width="12" style="206" customWidth="1"/>
    <col min="2556" max="2796" width="9.140625" style="206"/>
    <col min="2797" max="2797" width="9.140625" style="206" customWidth="1"/>
    <col min="2798" max="2798" width="34.42578125" style="206" customWidth="1"/>
    <col min="2799" max="2807" width="9.140625" style="206" customWidth="1"/>
    <col min="2808" max="2808" width="12.5703125" style="206" customWidth="1"/>
    <col min="2809" max="2809" width="13.85546875" style="206" customWidth="1"/>
    <col min="2810" max="2810" width="13.7109375" style="206" customWidth="1"/>
    <col min="2811" max="2811" width="12" style="206" customWidth="1"/>
    <col min="2812" max="3052" width="9.140625" style="206"/>
    <col min="3053" max="3053" width="9.140625" style="206" customWidth="1"/>
    <col min="3054" max="3054" width="34.42578125" style="206" customWidth="1"/>
    <col min="3055" max="3063" width="9.140625" style="206" customWidth="1"/>
    <col min="3064" max="3064" width="12.5703125" style="206" customWidth="1"/>
    <col min="3065" max="3065" width="13.85546875" style="206" customWidth="1"/>
    <col min="3066" max="3066" width="13.7109375" style="206" customWidth="1"/>
    <col min="3067" max="3067" width="12" style="206" customWidth="1"/>
    <col min="3068" max="3308" width="9.140625" style="206"/>
    <col min="3309" max="3309" width="9.140625" style="206" customWidth="1"/>
    <col min="3310" max="3310" width="34.42578125" style="206" customWidth="1"/>
    <col min="3311" max="3319" width="9.140625" style="206" customWidth="1"/>
    <col min="3320" max="3320" width="12.5703125" style="206" customWidth="1"/>
    <col min="3321" max="3321" width="13.85546875" style="206" customWidth="1"/>
    <col min="3322" max="3322" width="13.7109375" style="206" customWidth="1"/>
    <col min="3323" max="3323" width="12" style="206" customWidth="1"/>
    <col min="3324" max="3564" width="9.140625" style="206"/>
    <col min="3565" max="3565" width="9.140625" style="206" customWidth="1"/>
    <col min="3566" max="3566" width="34.42578125" style="206" customWidth="1"/>
    <col min="3567" max="3575" width="9.140625" style="206" customWidth="1"/>
    <col min="3576" max="3576" width="12.5703125" style="206" customWidth="1"/>
    <col min="3577" max="3577" width="13.85546875" style="206" customWidth="1"/>
    <col min="3578" max="3578" width="13.7109375" style="206" customWidth="1"/>
    <col min="3579" max="3579" width="12" style="206" customWidth="1"/>
    <col min="3580" max="3820" width="9.140625" style="206"/>
    <col min="3821" max="3821" width="9.140625" style="206" customWidth="1"/>
    <col min="3822" max="3822" width="34.42578125" style="206" customWidth="1"/>
    <col min="3823" max="3831" width="9.140625" style="206" customWidth="1"/>
    <col min="3832" max="3832" width="12.5703125" style="206" customWidth="1"/>
    <col min="3833" max="3833" width="13.85546875" style="206" customWidth="1"/>
    <col min="3834" max="3834" width="13.7109375" style="206" customWidth="1"/>
    <col min="3835" max="3835" width="12" style="206" customWidth="1"/>
    <col min="3836" max="4076" width="9.140625" style="206"/>
    <col min="4077" max="4077" width="9.140625" style="206" customWidth="1"/>
    <col min="4078" max="4078" width="34.42578125" style="206" customWidth="1"/>
    <col min="4079" max="4087" width="9.140625" style="206" customWidth="1"/>
    <col min="4088" max="4088" width="12.5703125" style="206" customWidth="1"/>
    <col min="4089" max="4089" width="13.85546875" style="206" customWidth="1"/>
    <col min="4090" max="4090" width="13.7109375" style="206" customWidth="1"/>
    <col min="4091" max="4091" width="12" style="206" customWidth="1"/>
    <col min="4092" max="4332" width="9.140625" style="206"/>
    <col min="4333" max="4333" width="9.140625" style="206" customWidth="1"/>
    <col min="4334" max="4334" width="34.42578125" style="206" customWidth="1"/>
    <col min="4335" max="4343" width="9.140625" style="206" customWidth="1"/>
    <col min="4344" max="4344" width="12.5703125" style="206" customWidth="1"/>
    <col min="4345" max="4345" width="13.85546875" style="206" customWidth="1"/>
    <col min="4346" max="4346" width="13.7109375" style="206" customWidth="1"/>
    <col min="4347" max="4347" width="12" style="206" customWidth="1"/>
    <col min="4348" max="4588" width="9.140625" style="206"/>
    <col min="4589" max="4589" width="9.140625" style="206" customWidth="1"/>
    <col min="4590" max="4590" width="34.42578125" style="206" customWidth="1"/>
    <col min="4591" max="4599" width="9.140625" style="206" customWidth="1"/>
    <col min="4600" max="4600" width="12.5703125" style="206" customWidth="1"/>
    <col min="4601" max="4601" width="13.85546875" style="206" customWidth="1"/>
    <col min="4602" max="4602" width="13.7109375" style="206" customWidth="1"/>
    <col min="4603" max="4603" width="12" style="206" customWidth="1"/>
    <col min="4604" max="4844" width="9.140625" style="206"/>
    <col min="4845" max="4845" width="9.140625" style="206" customWidth="1"/>
    <col min="4846" max="4846" width="34.42578125" style="206" customWidth="1"/>
    <col min="4847" max="4855" width="9.140625" style="206" customWidth="1"/>
    <col min="4856" max="4856" width="12.5703125" style="206" customWidth="1"/>
    <col min="4857" max="4857" width="13.85546875" style="206" customWidth="1"/>
    <col min="4858" max="4858" width="13.7109375" style="206" customWidth="1"/>
    <col min="4859" max="4859" width="12" style="206" customWidth="1"/>
    <col min="4860" max="5100" width="9.140625" style="206"/>
    <col min="5101" max="5101" width="9.140625" style="206" customWidth="1"/>
    <col min="5102" max="5102" width="34.42578125" style="206" customWidth="1"/>
    <col min="5103" max="5111" width="9.140625" style="206" customWidth="1"/>
    <col min="5112" max="5112" width="12.5703125" style="206" customWidth="1"/>
    <col min="5113" max="5113" width="13.85546875" style="206" customWidth="1"/>
    <col min="5114" max="5114" width="13.7109375" style="206" customWidth="1"/>
    <col min="5115" max="5115" width="12" style="206" customWidth="1"/>
    <col min="5116" max="5356" width="9.140625" style="206"/>
    <col min="5357" max="5357" width="9.140625" style="206" customWidth="1"/>
    <col min="5358" max="5358" width="34.42578125" style="206" customWidth="1"/>
    <col min="5359" max="5367" width="9.140625" style="206" customWidth="1"/>
    <col min="5368" max="5368" width="12.5703125" style="206" customWidth="1"/>
    <col min="5369" max="5369" width="13.85546875" style="206" customWidth="1"/>
    <col min="5370" max="5370" width="13.7109375" style="206" customWidth="1"/>
    <col min="5371" max="5371" width="12" style="206" customWidth="1"/>
    <col min="5372" max="5612" width="9.140625" style="206"/>
    <col min="5613" max="5613" width="9.140625" style="206" customWidth="1"/>
    <col min="5614" max="5614" width="34.42578125" style="206" customWidth="1"/>
    <col min="5615" max="5623" width="9.140625" style="206" customWidth="1"/>
    <col min="5624" max="5624" width="12.5703125" style="206" customWidth="1"/>
    <col min="5625" max="5625" width="13.85546875" style="206" customWidth="1"/>
    <col min="5626" max="5626" width="13.7109375" style="206" customWidth="1"/>
    <col min="5627" max="5627" width="12" style="206" customWidth="1"/>
    <col min="5628" max="5868" width="9.140625" style="206"/>
    <col min="5869" max="5869" width="9.140625" style="206" customWidth="1"/>
    <col min="5870" max="5870" width="34.42578125" style="206" customWidth="1"/>
    <col min="5871" max="5879" width="9.140625" style="206" customWidth="1"/>
    <col min="5880" max="5880" width="12.5703125" style="206" customWidth="1"/>
    <col min="5881" max="5881" width="13.85546875" style="206" customWidth="1"/>
    <col min="5882" max="5882" width="13.7109375" style="206" customWidth="1"/>
    <col min="5883" max="5883" width="12" style="206" customWidth="1"/>
    <col min="5884" max="6124" width="9.140625" style="206"/>
    <col min="6125" max="6125" width="9.140625" style="206" customWidth="1"/>
    <col min="6126" max="6126" width="34.42578125" style="206" customWidth="1"/>
    <col min="6127" max="6135" width="9.140625" style="206" customWidth="1"/>
    <col min="6136" max="6136" width="12.5703125" style="206" customWidth="1"/>
    <col min="6137" max="6137" width="13.85546875" style="206" customWidth="1"/>
    <col min="6138" max="6138" width="13.7109375" style="206" customWidth="1"/>
    <col min="6139" max="6139" width="12" style="206" customWidth="1"/>
    <col min="6140" max="6380" width="9.140625" style="206"/>
    <col min="6381" max="6381" width="9.140625" style="206" customWidth="1"/>
    <col min="6382" max="6382" width="34.42578125" style="206" customWidth="1"/>
    <col min="6383" max="6391" width="9.140625" style="206" customWidth="1"/>
    <col min="6392" max="6392" width="12.5703125" style="206" customWidth="1"/>
    <col min="6393" max="6393" width="13.85546875" style="206" customWidth="1"/>
    <col min="6394" max="6394" width="13.7109375" style="206" customWidth="1"/>
    <col min="6395" max="6395" width="12" style="206" customWidth="1"/>
    <col min="6396" max="6636" width="9.140625" style="206"/>
    <col min="6637" max="6637" width="9.140625" style="206" customWidth="1"/>
    <col min="6638" max="6638" width="34.42578125" style="206" customWidth="1"/>
    <col min="6639" max="6647" width="9.140625" style="206" customWidth="1"/>
    <col min="6648" max="6648" width="12.5703125" style="206" customWidth="1"/>
    <col min="6649" max="6649" width="13.85546875" style="206" customWidth="1"/>
    <col min="6650" max="6650" width="13.7109375" style="206" customWidth="1"/>
    <col min="6651" max="6651" width="12" style="206" customWidth="1"/>
    <col min="6652" max="6892" width="9.140625" style="206"/>
    <col min="6893" max="6893" width="9.140625" style="206" customWidth="1"/>
    <col min="6894" max="6894" width="34.42578125" style="206" customWidth="1"/>
    <col min="6895" max="6903" width="9.140625" style="206" customWidth="1"/>
    <col min="6904" max="6904" width="12.5703125" style="206" customWidth="1"/>
    <col min="6905" max="6905" width="13.85546875" style="206" customWidth="1"/>
    <col min="6906" max="6906" width="13.7109375" style="206" customWidth="1"/>
    <col min="6907" max="6907" width="12" style="206" customWidth="1"/>
    <col min="6908" max="7148" width="9.140625" style="206"/>
    <col min="7149" max="7149" width="9.140625" style="206" customWidth="1"/>
    <col min="7150" max="7150" width="34.42578125" style="206" customWidth="1"/>
    <col min="7151" max="7159" width="9.140625" style="206" customWidth="1"/>
    <col min="7160" max="7160" width="12.5703125" style="206" customWidth="1"/>
    <col min="7161" max="7161" width="13.85546875" style="206" customWidth="1"/>
    <col min="7162" max="7162" width="13.7109375" style="206" customWidth="1"/>
    <col min="7163" max="7163" width="12" style="206" customWidth="1"/>
    <col min="7164" max="7404" width="9.140625" style="206"/>
    <col min="7405" max="7405" width="9.140625" style="206" customWidth="1"/>
    <col min="7406" max="7406" width="34.42578125" style="206" customWidth="1"/>
    <col min="7407" max="7415" width="9.140625" style="206" customWidth="1"/>
    <col min="7416" max="7416" width="12.5703125" style="206" customWidth="1"/>
    <col min="7417" max="7417" width="13.85546875" style="206" customWidth="1"/>
    <col min="7418" max="7418" width="13.7109375" style="206" customWidth="1"/>
    <col min="7419" max="7419" width="12" style="206" customWidth="1"/>
    <col min="7420" max="7660" width="9.140625" style="206"/>
    <col min="7661" max="7661" width="9.140625" style="206" customWidth="1"/>
    <col min="7662" max="7662" width="34.42578125" style="206" customWidth="1"/>
    <col min="7663" max="7671" width="9.140625" style="206" customWidth="1"/>
    <col min="7672" max="7672" width="12.5703125" style="206" customWidth="1"/>
    <col min="7673" max="7673" width="13.85546875" style="206" customWidth="1"/>
    <col min="7674" max="7674" width="13.7109375" style="206" customWidth="1"/>
    <col min="7675" max="7675" width="12" style="206" customWidth="1"/>
    <col min="7676" max="7916" width="9.140625" style="206"/>
    <col min="7917" max="7917" width="9.140625" style="206" customWidth="1"/>
    <col min="7918" max="7918" width="34.42578125" style="206" customWidth="1"/>
    <col min="7919" max="7927" width="9.140625" style="206" customWidth="1"/>
    <col min="7928" max="7928" width="12.5703125" style="206" customWidth="1"/>
    <col min="7929" max="7929" width="13.85546875" style="206" customWidth="1"/>
    <col min="7930" max="7930" width="13.7109375" style="206" customWidth="1"/>
    <col min="7931" max="7931" width="12" style="206" customWidth="1"/>
    <col min="7932" max="8172" width="9.140625" style="206"/>
    <col min="8173" max="8173" width="9.140625" style="206" customWidth="1"/>
    <col min="8174" max="8174" width="34.42578125" style="206" customWidth="1"/>
    <col min="8175" max="8183" width="9.140625" style="206" customWidth="1"/>
    <col min="8184" max="8184" width="12.5703125" style="206" customWidth="1"/>
    <col min="8185" max="8185" width="13.85546875" style="206" customWidth="1"/>
    <col min="8186" max="8186" width="13.7109375" style="206" customWidth="1"/>
    <col min="8187" max="8187" width="12" style="206" customWidth="1"/>
    <col min="8188" max="8428" width="9.140625" style="206"/>
    <col min="8429" max="8429" width="9.140625" style="206" customWidth="1"/>
    <col min="8430" max="8430" width="34.42578125" style="206" customWidth="1"/>
    <col min="8431" max="8439" width="9.140625" style="206" customWidth="1"/>
    <col min="8440" max="8440" width="12.5703125" style="206" customWidth="1"/>
    <col min="8441" max="8441" width="13.85546875" style="206" customWidth="1"/>
    <col min="8442" max="8442" width="13.7109375" style="206" customWidth="1"/>
    <col min="8443" max="8443" width="12" style="206" customWidth="1"/>
    <col min="8444" max="8684" width="9.140625" style="206"/>
    <col min="8685" max="8685" width="9.140625" style="206" customWidth="1"/>
    <col min="8686" max="8686" width="34.42578125" style="206" customWidth="1"/>
    <col min="8687" max="8695" width="9.140625" style="206" customWidth="1"/>
    <col min="8696" max="8696" width="12.5703125" style="206" customWidth="1"/>
    <col min="8697" max="8697" width="13.85546875" style="206" customWidth="1"/>
    <col min="8698" max="8698" width="13.7109375" style="206" customWidth="1"/>
    <col min="8699" max="8699" width="12" style="206" customWidth="1"/>
    <col min="8700" max="8940" width="9.140625" style="206"/>
    <col min="8941" max="8941" width="9.140625" style="206" customWidth="1"/>
    <col min="8942" max="8942" width="34.42578125" style="206" customWidth="1"/>
    <col min="8943" max="8951" width="9.140625" style="206" customWidth="1"/>
    <col min="8952" max="8952" width="12.5703125" style="206" customWidth="1"/>
    <col min="8953" max="8953" width="13.85546875" style="206" customWidth="1"/>
    <col min="8954" max="8954" width="13.7109375" style="206" customWidth="1"/>
    <col min="8955" max="8955" width="12" style="206" customWidth="1"/>
    <col min="8956" max="9196" width="9.140625" style="206"/>
    <col min="9197" max="9197" width="9.140625" style="206" customWidth="1"/>
    <col min="9198" max="9198" width="34.42578125" style="206" customWidth="1"/>
    <col min="9199" max="9207" width="9.140625" style="206" customWidth="1"/>
    <col min="9208" max="9208" width="12.5703125" style="206" customWidth="1"/>
    <col min="9209" max="9209" width="13.85546875" style="206" customWidth="1"/>
    <col min="9210" max="9210" width="13.7109375" style="206" customWidth="1"/>
    <col min="9211" max="9211" width="12" style="206" customWidth="1"/>
    <col min="9212" max="9452" width="9.140625" style="206"/>
    <col min="9453" max="9453" width="9.140625" style="206" customWidth="1"/>
    <col min="9454" max="9454" width="34.42578125" style="206" customWidth="1"/>
    <col min="9455" max="9463" width="9.140625" style="206" customWidth="1"/>
    <col min="9464" max="9464" width="12.5703125" style="206" customWidth="1"/>
    <col min="9465" max="9465" width="13.85546875" style="206" customWidth="1"/>
    <col min="9466" max="9466" width="13.7109375" style="206" customWidth="1"/>
    <col min="9467" max="9467" width="12" style="206" customWidth="1"/>
    <col min="9468" max="9708" width="9.140625" style="206"/>
    <col min="9709" max="9709" width="9.140625" style="206" customWidth="1"/>
    <col min="9710" max="9710" width="34.42578125" style="206" customWidth="1"/>
    <col min="9711" max="9719" width="9.140625" style="206" customWidth="1"/>
    <col min="9720" max="9720" width="12.5703125" style="206" customWidth="1"/>
    <col min="9721" max="9721" width="13.85546875" style="206" customWidth="1"/>
    <col min="9722" max="9722" width="13.7109375" style="206" customWidth="1"/>
    <col min="9723" max="9723" width="12" style="206" customWidth="1"/>
    <col min="9724" max="9964" width="9.140625" style="206"/>
    <col min="9965" max="9965" width="9.140625" style="206" customWidth="1"/>
    <col min="9966" max="9966" width="34.42578125" style="206" customWidth="1"/>
    <col min="9967" max="9975" width="9.140625" style="206" customWidth="1"/>
    <col min="9976" max="9976" width="12.5703125" style="206" customWidth="1"/>
    <col min="9977" max="9977" width="13.85546875" style="206" customWidth="1"/>
    <col min="9978" max="9978" width="13.7109375" style="206" customWidth="1"/>
    <col min="9979" max="9979" width="12" style="206" customWidth="1"/>
    <col min="9980" max="10220" width="9.140625" style="206"/>
    <col min="10221" max="10221" width="9.140625" style="206" customWidth="1"/>
    <col min="10222" max="10222" width="34.42578125" style="206" customWidth="1"/>
    <col min="10223" max="10231" width="9.140625" style="206" customWidth="1"/>
    <col min="10232" max="10232" width="12.5703125" style="206" customWidth="1"/>
    <col min="10233" max="10233" width="13.85546875" style="206" customWidth="1"/>
    <col min="10234" max="10234" width="13.7109375" style="206" customWidth="1"/>
    <col min="10235" max="10235" width="12" style="206" customWidth="1"/>
    <col min="10236" max="10476" width="9.140625" style="206"/>
    <col min="10477" max="10477" width="9.140625" style="206" customWidth="1"/>
    <col min="10478" max="10478" width="34.42578125" style="206" customWidth="1"/>
    <col min="10479" max="10487" width="9.140625" style="206" customWidth="1"/>
    <col min="10488" max="10488" width="12.5703125" style="206" customWidth="1"/>
    <col min="10489" max="10489" width="13.85546875" style="206" customWidth="1"/>
    <col min="10490" max="10490" width="13.7109375" style="206" customWidth="1"/>
    <col min="10491" max="10491" width="12" style="206" customWidth="1"/>
    <col min="10492" max="10732" width="9.140625" style="206"/>
    <col min="10733" max="10733" width="9.140625" style="206" customWidth="1"/>
    <col min="10734" max="10734" width="34.42578125" style="206" customWidth="1"/>
    <col min="10735" max="10743" width="9.140625" style="206" customWidth="1"/>
    <col min="10744" max="10744" width="12.5703125" style="206" customWidth="1"/>
    <col min="10745" max="10745" width="13.85546875" style="206" customWidth="1"/>
    <col min="10746" max="10746" width="13.7109375" style="206" customWidth="1"/>
    <col min="10747" max="10747" width="12" style="206" customWidth="1"/>
    <col min="10748" max="10988" width="9.140625" style="206"/>
    <col min="10989" max="10989" width="9.140625" style="206" customWidth="1"/>
    <col min="10990" max="10990" width="34.42578125" style="206" customWidth="1"/>
    <col min="10991" max="10999" width="9.140625" style="206" customWidth="1"/>
    <col min="11000" max="11000" width="12.5703125" style="206" customWidth="1"/>
    <col min="11001" max="11001" width="13.85546875" style="206" customWidth="1"/>
    <col min="11002" max="11002" width="13.7109375" style="206" customWidth="1"/>
    <col min="11003" max="11003" width="12" style="206" customWidth="1"/>
    <col min="11004" max="11244" width="9.140625" style="206"/>
    <col min="11245" max="11245" width="9.140625" style="206" customWidth="1"/>
    <col min="11246" max="11246" width="34.42578125" style="206" customWidth="1"/>
    <col min="11247" max="11255" width="9.140625" style="206" customWidth="1"/>
    <col min="11256" max="11256" width="12.5703125" style="206" customWidth="1"/>
    <col min="11257" max="11257" width="13.85546875" style="206" customWidth="1"/>
    <col min="11258" max="11258" width="13.7109375" style="206" customWidth="1"/>
    <col min="11259" max="11259" width="12" style="206" customWidth="1"/>
    <col min="11260" max="11500" width="9.140625" style="206"/>
    <col min="11501" max="11501" width="9.140625" style="206" customWidth="1"/>
    <col min="11502" max="11502" width="34.42578125" style="206" customWidth="1"/>
    <col min="11503" max="11511" width="9.140625" style="206" customWidth="1"/>
    <col min="11512" max="11512" width="12.5703125" style="206" customWidth="1"/>
    <col min="11513" max="11513" width="13.85546875" style="206" customWidth="1"/>
    <col min="11514" max="11514" width="13.7109375" style="206" customWidth="1"/>
    <col min="11515" max="11515" width="12" style="206" customWidth="1"/>
    <col min="11516" max="11756" width="9.140625" style="206"/>
    <col min="11757" max="11757" width="9.140625" style="206" customWidth="1"/>
    <col min="11758" max="11758" width="34.42578125" style="206" customWidth="1"/>
    <col min="11759" max="11767" width="9.140625" style="206" customWidth="1"/>
    <col min="11768" max="11768" width="12.5703125" style="206" customWidth="1"/>
    <col min="11769" max="11769" width="13.85546875" style="206" customWidth="1"/>
    <col min="11770" max="11770" width="13.7109375" style="206" customWidth="1"/>
    <col min="11771" max="11771" width="12" style="206" customWidth="1"/>
    <col min="11772" max="12012" width="9.140625" style="206"/>
    <col min="12013" max="12013" width="9.140625" style="206" customWidth="1"/>
    <col min="12014" max="12014" width="34.42578125" style="206" customWidth="1"/>
    <col min="12015" max="12023" width="9.140625" style="206" customWidth="1"/>
    <col min="12024" max="12024" width="12.5703125" style="206" customWidth="1"/>
    <col min="12025" max="12025" width="13.85546875" style="206" customWidth="1"/>
    <col min="12026" max="12026" width="13.7109375" style="206" customWidth="1"/>
    <col min="12027" max="12027" width="12" style="206" customWidth="1"/>
    <col min="12028" max="12268" width="9.140625" style="206"/>
    <col min="12269" max="12269" width="9.140625" style="206" customWidth="1"/>
    <col min="12270" max="12270" width="34.42578125" style="206" customWidth="1"/>
    <col min="12271" max="12279" width="9.140625" style="206" customWidth="1"/>
    <col min="12280" max="12280" width="12.5703125" style="206" customWidth="1"/>
    <col min="12281" max="12281" width="13.85546875" style="206" customWidth="1"/>
    <col min="12282" max="12282" width="13.7109375" style="206" customWidth="1"/>
    <col min="12283" max="12283" width="12" style="206" customWidth="1"/>
    <col min="12284" max="12524" width="9.140625" style="206"/>
    <col min="12525" max="12525" width="9.140625" style="206" customWidth="1"/>
    <col min="12526" max="12526" width="34.42578125" style="206" customWidth="1"/>
    <col min="12527" max="12535" width="9.140625" style="206" customWidth="1"/>
    <col min="12536" max="12536" width="12.5703125" style="206" customWidth="1"/>
    <col min="12537" max="12537" width="13.85546875" style="206" customWidth="1"/>
    <col min="12538" max="12538" width="13.7109375" style="206" customWidth="1"/>
    <col min="12539" max="12539" width="12" style="206" customWidth="1"/>
    <col min="12540" max="12780" width="9.140625" style="206"/>
    <col min="12781" max="12781" width="9.140625" style="206" customWidth="1"/>
    <col min="12782" max="12782" width="34.42578125" style="206" customWidth="1"/>
    <col min="12783" max="12791" width="9.140625" style="206" customWidth="1"/>
    <col min="12792" max="12792" width="12.5703125" style="206" customWidth="1"/>
    <col min="12793" max="12793" width="13.85546875" style="206" customWidth="1"/>
    <col min="12794" max="12794" width="13.7109375" style="206" customWidth="1"/>
    <col min="12795" max="12795" width="12" style="206" customWidth="1"/>
    <col min="12796" max="13036" width="9.140625" style="206"/>
    <col min="13037" max="13037" width="9.140625" style="206" customWidth="1"/>
    <col min="13038" max="13038" width="34.42578125" style="206" customWidth="1"/>
    <col min="13039" max="13047" width="9.140625" style="206" customWidth="1"/>
    <col min="13048" max="13048" width="12.5703125" style="206" customWidth="1"/>
    <col min="13049" max="13049" width="13.85546875" style="206" customWidth="1"/>
    <col min="13050" max="13050" width="13.7109375" style="206" customWidth="1"/>
    <col min="13051" max="13051" width="12" style="206" customWidth="1"/>
    <col min="13052" max="13292" width="9.140625" style="206"/>
    <col min="13293" max="13293" width="9.140625" style="206" customWidth="1"/>
    <col min="13294" max="13294" width="34.42578125" style="206" customWidth="1"/>
    <col min="13295" max="13303" width="9.140625" style="206" customWidth="1"/>
    <col min="13304" max="13304" width="12.5703125" style="206" customWidth="1"/>
    <col min="13305" max="13305" width="13.85546875" style="206" customWidth="1"/>
    <col min="13306" max="13306" width="13.7109375" style="206" customWidth="1"/>
    <col min="13307" max="13307" width="12" style="206" customWidth="1"/>
    <col min="13308" max="13548" width="9.140625" style="206"/>
    <col min="13549" max="13549" width="9.140625" style="206" customWidth="1"/>
    <col min="13550" max="13550" width="34.42578125" style="206" customWidth="1"/>
    <col min="13551" max="13559" width="9.140625" style="206" customWidth="1"/>
    <col min="13560" max="13560" width="12.5703125" style="206" customWidth="1"/>
    <col min="13561" max="13561" width="13.85546875" style="206" customWidth="1"/>
    <col min="13562" max="13562" width="13.7109375" style="206" customWidth="1"/>
    <col min="13563" max="13563" width="12" style="206" customWidth="1"/>
    <col min="13564" max="13804" width="9.140625" style="206"/>
    <col min="13805" max="13805" width="9.140625" style="206" customWidth="1"/>
    <col min="13806" max="13806" width="34.42578125" style="206" customWidth="1"/>
    <col min="13807" max="13815" width="9.140625" style="206" customWidth="1"/>
    <col min="13816" max="13816" width="12.5703125" style="206" customWidth="1"/>
    <col min="13817" max="13817" width="13.85546875" style="206" customWidth="1"/>
    <col min="13818" max="13818" width="13.7109375" style="206" customWidth="1"/>
    <col min="13819" max="13819" width="12" style="206" customWidth="1"/>
    <col min="13820" max="14060" width="9.140625" style="206"/>
    <col min="14061" max="14061" width="9.140625" style="206" customWidth="1"/>
    <col min="14062" max="14062" width="34.42578125" style="206" customWidth="1"/>
    <col min="14063" max="14071" width="9.140625" style="206" customWidth="1"/>
    <col min="14072" max="14072" width="12.5703125" style="206" customWidth="1"/>
    <col min="14073" max="14073" width="13.85546875" style="206" customWidth="1"/>
    <col min="14074" max="14074" width="13.7109375" style="206" customWidth="1"/>
    <col min="14075" max="14075" width="12" style="206" customWidth="1"/>
    <col min="14076" max="14316" width="9.140625" style="206"/>
    <col min="14317" max="14317" width="9.140625" style="206" customWidth="1"/>
    <col min="14318" max="14318" width="34.42578125" style="206" customWidth="1"/>
    <col min="14319" max="14327" width="9.140625" style="206" customWidth="1"/>
    <col min="14328" max="14328" width="12.5703125" style="206" customWidth="1"/>
    <col min="14329" max="14329" width="13.85546875" style="206" customWidth="1"/>
    <col min="14330" max="14330" width="13.7109375" style="206" customWidth="1"/>
    <col min="14331" max="14331" width="12" style="206" customWidth="1"/>
    <col min="14332" max="14572" width="9.140625" style="206"/>
    <col min="14573" max="14573" width="9.140625" style="206" customWidth="1"/>
    <col min="14574" max="14574" width="34.42578125" style="206" customWidth="1"/>
    <col min="14575" max="14583" width="9.140625" style="206" customWidth="1"/>
    <col min="14584" max="14584" width="12.5703125" style="206" customWidth="1"/>
    <col min="14585" max="14585" width="13.85546875" style="206" customWidth="1"/>
    <col min="14586" max="14586" width="13.7109375" style="206" customWidth="1"/>
    <col min="14587" max="14587" width="12" style="206" customWidth="1"/>
    <col min="14588" max="14828" width="9.140625" style="206"/>
    <col min="14829" max="14829" width="9.140625" style="206" customWidth="1"/>
    <col min="14830" max="14830" width="34.42578125" style="206" customWidth="1"/>
    <col min="14831" max="14839" width="9.140625" style="206" customWidth="1"/>
    <col min="14840" max="14840" width="12.5703125" style="206" customWidth="1"/>
    <col min="14841" max="14841" width="13.85546875" style="206" customWidth="1"/>
    <col min="14842" max="14842" width="13.7109375" style="206" customWidth="1"/>
    <col min="14843" max="14843" width="12" style="206" customWidth="1"/>
    <col min="14844" max="15084" width="9.140625" style="206"/>
    <col min="15085" max="15085" width="9.140625" style="206" customWidth="1"/>
    <col min="15086" max="15086" width="34.42578125" style="206" customWidth="1"/>
    <col min="15087" max="15095" width="9.140625" style="206" customWidth="1"/>
    <col min="15096" max="15096" width="12.5703125" style="206" customWidth="1"/>
    <col min="15097" max="15097" width="13.85546875" style="206" customWidth="1"/>
    <col min="15098" max="15098" width="13.7109375" style="206" customWidth="1"/>
    <col min="15099" max="15099" width="12" style="206" customWidth="1"/>
    <col min="15100" max="15340" width="9.140625" style="206"/>
    <col min="15341" max="15341" width="9.140625" style="206" customWidth="1"/>
    <col min="15342" max="15342" width="34.42578125" style="206" customWidth="1"/>
    <col min="15343" max="15351" width="9.140625" style="206" customWidth="1"/>
    <col min="15352" max="15352" width="12.5703125" style="206" customWidth="1"/>
    <col min="15353" max="15353" width="13.85546875" style="206" customWidth="1"/>
    <col min="15354" max="15354" width="13.7109375" style="206" customWidth="1"/>
    <col min="15355" max="15355" width="12" style="206" customWidth="1"/>
    <col min="15356" max="15596" width="9.140625" style="206"/>
    <col min="15597" max="15597" width="9.140625" style="206" customWidth="1"/>
    <col min="15598" max="15598" width="34.42578125" style="206" customWidth="1"/>
    <col min="15599" max="15607" width="9.140625" style="206" customWidth="1"/>
    <col min="15608" max="15608" width="12.5703125" style="206" customWidth="1"/>
    <col min="15609" max="15609" width="13.85546875" style="206" customWidth="1"/>
    <col min="15610" max="15610" width="13.7109375" style="206" customWidth="1"/>
    <col min="15611" max="15611" width="12" style="206" customWidth="1"/>
    <col min="15612" max="15852" width="9.140625" style="206"/>
    <col min="15853" max="15853" width="9.140625" style="206" customWidth="1"/>
    <col min="15854" max="15854" width="34.42578125" style="206" customWidth="1"/>
    <col min="15855" max="15863" width="9.140625" style="206" customWidth="1"/>
    <col min="15864" max="15864" width="12.5703125" style="206" customWidth="1"/>
    <col min="15865" max="15865" width="13.85546875" style="206" customWidth="1"/>
    <col min="15866" max="15866" width="13.7109375" style="206" customWidth="1"/>
    <col min="15867" max="15867" width="12" style="206" customWidth="1"/>
    <col min="15868" max="16108" width="9.140625" style="206"/>
    <col min="16109" max="16109" width="9.140625" style="206" customWidth="1"/>
    <col min="16110" max="16110" width="34.42578125" style="206" customWidth="1"/>
    <col min="16111" max="16119" width="9.140625" style="206" customWidth="1"/>
    <col min="16120" max="16120" width="12.5703125" style="206" customWidth="1"/>
    <col min="16121" max="16121" width="13.85546875" style="206" customWidth="1"/>
    <col min="16122" max="16122" width="13.7109375" style="206" customWidth="1"/>
    <col min="16123" max="16123" width="12" style="206" customWidth="1"/>
    <col min="16124" max="16384" width="9.140625" style="206"/>
  </cols>
  <sheetData>
    <row r="1" spans="1:8" ht="18">
      <c r="A1" s="248" t="str">
        <f>'Příjmy 2015 shrnutí'!A2</f>
        <v>Plnění rozpočtu leden - březen 2015</v>
      </c>
    </row>
    <row r="2" spans="1:8" ht="15">
      <c r="A2" s="249"/>
      <c r="B2" s="250"/>
      <c r="C2" s="250"/>
      <c r="D2" s="250"/>
      <c r="E2" s="250"/>
    </row>
    <row r="3" spans="1:8" ht="38.25">
      <c r="A3" s="258" t="s">
        <v>423</v>
      </c>
      <c r="B3" s="204" t="s">
        <v>478</v>
      </c>
      <c r="C3" s="204" t="s">
        <v>522</v>
      </c>
      <c r="D3" s="204" t="s">
        <v>541</v>
      </c>
      <c r="E3" s="204" t="s">
        <v>542</v>
      </c>
      <c r="F3" s="204" t="s">
        <v>540</v>
      </c>
      <c r="G3" s="204" t="s">
        <v>543</v>
      </c>
      <c r="H3" s="204" t="s">
        <v>495</v>
      </c>
    </row>
    <row r="4" spans="1:8" ht="27" customHeight="1">
      <c r="A4" s="232" t="s">
        <v>457</v>
      </c>
      <c r="B4" s="245">
        <f>'Výdaje podrobně a dohromady'!D12</f>
        <v>50000</v>
      </c>
      <c r="C4" s="245">
        <f>'Výdaje podrobně a dohromady'!E12</f>
        <v>50000</v>
      </c>
      <c r="D4" s="245">
        <f>F4-E4</f>
        <v>23248</v>
      </c>
      <c r="E4" s="245">
        <v>0</v>
      </c>
      <c r="F4" s="245">
        <f>'Výdaje podrobně a dohromady'!P12</f>
        <v>23248</v>
      </c>
      <c r="G4" s="207">
        <f>F4/B4*100</f>
        <v>46.495999999999995</v>
      </c>
      <c r="H4" s="207">
        <f>F4/C4*100</f>
        <v>46.495999999999995</v>
      </c>
    </row>
    <row r="5" spans="1:8">
      <c r="A5" s="2" t="s">
        <v>367</v>
      </c>
      <c r="B5" s="245">
        <f>'Výdaje podrobně a dohromady'!D35</f>
        <v>3000000</v>
      </c>
      <c r="C5" s="245">
        <f>'Výdaje podrobně a dohromady'!E35</f>
        <v>3000000</v>
      </c>
      <c r="D5" s="245">
        <f t="shared" ref="D5:D14" si="0">F5-E5</f>
        <v>430346.82</v>
      </c>
      <c r="E5" s="245">
        <v>0</v>
      </c>
      <c r="F5" s="245">
        <f>'Výdaje podrobně a dohromady'!P35</f>
        <v>430346.82</v>
      </c>
      <c r="G5" s="207">
        <f t="shared" ref="G5:G58" si="1">F5/B5*100</f>
        <v>14.344894</v>
      </c>
      <c r="H5" s="207">
        <f t="shared" ref="H5:H58" si="2">F5/C5*100</f>
        <v>14.344894</v>
      </c>
    </row>
    <row r="6" spans="1:8" ht="12" customHeight="1">
      <c r="A6" s="2" t="s">
        <v>352</v>
      </c>
      <c r="B6" s="245">
        <f>'Výdaje podrobně a dohromady'!D40</f>
        <v>50000</v>
      </c>
      <c r="C6" s="245">
        <f>'Výdaje podrobně a dohromady'!E40</f>
        <v>50000</v>
      </c>
      <c r="D6" s="245">
        <f t="shared" si="0"/>
        <v>0</v>
      </c>
      <c r="E6" s="245">
        <v>0</v>
      </c>
      <c r="F6" s="245">
        <f>'Výdaje podrobně a dohromady'!P40</f>
        <v>0</v>
      </c>
      <c r="G6" s="207">
        <f t="shared" si="1"/>
        <v>0</v>
      </c>
      <c r="H6" s="207">
        <f t="shared" si="2"/>
        <v>0</v>
      </c>
    </row>
    <row r="7" spans="1:8">
      <c r="A7" s="2" t="s">
        <v>353</v>
      </c>
      <c r="B7" s="247">
        <f>'Výdaje podrobně a dohromady'!D52</f>
        <v>15560000</v>
      </c>
      <c r="C7" s="247">
        <f>'Výdaje podrobně a dohromady'!E52</f>
        <v>15560000</v>
      </c>
      <c r="D7" s="245">
        <f t="shared" si="0"/>
        <v>198577.05</v>
      </c>
      <c r="E7" s="247">
        <f>'Výdaje podrobně a dohromady'!P51</f>
        <v>7805</v>
      </c>
      <c r="F7" s="245">
        <f>'Výdaje podrobně a dohromady'!P52</f>
        <v>206382.05</v>
      </c>
      <c r="G7" s="207">
        <f t="shared" si="1"/>
        <v>1.3263627892030847</v>
      </c>
      <c r="H7" s="207">
        <f t="shared" si="2"/>
        <v>1.3263627892030847</v>
      </c>
    </row>
    <row r="8" spans="1:8">
      <c r="A8" s="2" t="s">
        <v>539</v>
      </c>
      <c r="B8" s="247">
        <f>'Výdaje podrobně a dohromady'!D57</f>
        <v>50000</v>
      </c>
      <c r="C8" s="247">
        <f>'Výdaje podrobně a dohromady'!E57</f>
        <v>50000</v>
      </c>
      <c r="D8" s="245">
        <f t="shared" si="0"/>
        <v>0</v>
      </c>
      <c r="E8" s="247">
        <f>'Výdaje podrobně a dohromady'!P56</f>
        <v>0</v>
      </c>
      <c r="F8" s="245">
        <f>'Výdaje podrobně a dohromady'!P57</f>
        <v>0</v>
      </c>
      <c r="G8" s="207">
        <f t="shared" si="1"/>
        <v>0</v>
      </c>
      <c r="H8" s="207">
        <f t="shared" si="2"/>
        <v>0</v>
      </c>
    </row>
    <row r="9" spans="1:8">
      <c r="A9" s="2" t="s">
        <v>361</v>
      </c>
      <c r="B9" s="245">
        <f>'Výdaje podrobně a dohromady'!D64</f>
        <v>1450000</v>
      </c>
      <c r="C9" s="245">
        <f>'Výdaje podrobně a dohromady'!E64</f>
        <v>1650000</v>
      </c>
      <c r="D9" s="245">
        <f t="shared" si="0"/>
        <v>2668.05</v>
      </c>
      <c r="E9" s="245">
        <f>'Výdaje podrobně a dohromady'!P63</f>
        <v>0</v>
      </c>
      <c r="F9" s="245">
        <f>'Výdaje podrobně a dohromady'!P64</f>
        <v>2668.05</v>
      </c>
      <c r="G9" s="207">
        <f t="shared" si="1"/>
        <v>0.18400344827586207</v>
      </c>
      <c r="H9" s="207">
        <f t="shared" si="2"/>
        <v>0.16170000000000001</v>
      </c>
    </row>
    <row r="10" spans="1:8" ht="14.25" customHeight="1">
      <c r="A10" s="2" t="s">
        <v>458</v>
      </c>
      <c r="B10" s="245">
        <f>'Výdaje podrobně a dohromady'!D71</f>
        <v>400000</v>
      </c>
      <c r="C10" s="245">
        <f>'Výdaje podrobně a dohromady'!E71</f>
        <v>800000</v>
      </c>
      <c r="D10" s="245">
        <f t="shared" si="0"/>
        <v>0</v>
      </c>
      <c r="E10" s="245">
        <f>'Výdaje podrobně a dohromady'!P70</f>
        <v>24408</v>
      </c>
      <c r="F10" s="245">
        <f>'Výdaje podrobně a dohromady'!P71</f>
        <v>24408</v>
      </c>
      <c r="G10" s="207">
        <f t="shared" si="1"/>
        <v>6.1019999999999994</v>
      </c>
      <c r="H10" s="207">
        <f t="shared" si="2"/>
        <v>3.0509999999999997</v>
      </c>
    </row>
    <row r="11" spans="1:8">
      <c r="A11" s="2" t="s">
        <v>354</v>
      </c>
      <c r="B11" s="245">
        <f>'Výdaje podrobně a dohromady'!D78</f>
        <v>1693410</v>
      </c>
      <c r="C11" s="245">
        <f>'Výdaje podrobně a dohromady'!E78</f>
        <v>1693410</v>
      </c>
      <c r="D11" s="245">
        <f t="shared" si="0"/>
        <v>301400</v>
      </c>
      <c r="E11" s="245">
        <v>0</v>
      </c>
      <c r="F11" s="245">
        <f>'Výdaje podrobně a dohromady'!P78</f>
        <v>301400</v>
      </c>
      <c r="G11" s="207">
        <f t="shared" si="1"/>
        <v>17.798406765048039</v>
      </c>
      <c r="H11" s="207">
        <f t="shared" si="2"/>
        <v>17.798406765048039</v>
      </c>
    </row>
    <row r="12" spans="1:8">
      <c r="A12" s="2" t="s">
        <v>355</v>
      </c>
      <c r="B12" s="245">
        <f>'Výdaje podrobně a dohromady'!D107</f>
        <v>20620000</v>
      </c>
      <c r="C12" s="245">
        <f>'Výdaje podrobně a dohromady'!E107</f>
        <v>19020000</v>
      </c>
      <c r="D12" s="245">
        <f t="shared" si="0"/>
        <v>1260000</v>
      </c>
      <c r="E12" s="245">
        <f>'Výdaje podrobně a dohromady'!P106</f>
        <v>92214.1</v>
      </c>
      <c r="F12" s="245">
        <f>'Výdaje podrobně a dohromady'!P107</f>
        <v>1352214.1</v>
      </c>
      <c r="G12" s="207">
        <f t="shared" si="1"/>
        <v>6.5577793404461699</v>
      </c>
      <c r="H12" s="207">
        <f t="shared" si="2"/>
        <v>7.1094327024185073</v>
      </c>
    </row>
    <row r="13" spans="1:8">
      <c r="A13" s="2" t="s">
        <v>356</v>
      </c>
      <c r="B13" s="245">
        <f>'Výdaje podrobně a dohromady'!D134</f>
        <v>189000</v>
      </c>
      <c r="C13" s="245">
        <f>'Výdaje podrobně a dohromady'!E134</f>
        <v>189000</v>
      </c>
      <c r="D13" s="245">
        <f t="shared" si="0"/>
        <v>17000</v>
      </c>
      <c r="E13" s="245">
        <v>0</v>
      </c>
      <c r="F13" s="245">
        <f>'Výdaje podrobně a dohromady'!P134</f>
        <v>17000</v>
      </c>
      <c r="G13" s="207">
        <f t="shared" si="1"/>
        <v>8.9947089947089935</v>
      </c>
      <c r="H13" s="207">
        <f t="shared" si="2"/>
        <v>8.9947089947089935</v>
      </c>
    </row>
    <row r="14" spans="1:8">
      <c r="A14" s="2" t="s">
        <v>17</v>
      </c>
      <c r="B14" s="245">
        <f>'Výdaje podrobně a dohromady'!D187</f>
        <v>900000</v>
      </c>
      <c r="C14" s="245">
        <f>'Výdaje podrobně a dohromady'!E187</f>
        <v>1328570</v>
      </c>
      <c r="D14" s="245">
        <f t="shared" si="0"/>
        <v>248194.94</v>
      </c>
      <c r="E14" s="245">
        <v>0</v>
      </c>
      <c r="F14" s="245">
        <f>'Výdaje podrobně a dohromady'!P187</f>
        <v>248194.94</v>
      </c>
      <c r="G14" s="207">
        <f t="shared" si="1"/>
        <v>27.577215555555558</v>
      </c>
      <c r="H14" s="207">
        <f t="shared" si="2"/>
        <v>18.681359657375975</v>
      </c>
    </row>
    <row r="15" spans="1:8">
      <c r="A15" s="2" t="s">
        <v>357</v>
      </c>
      <c r="B15" s="245">
        <f>SUM(B16:B21)</f>
        <v>4600000</v>
      </c>
      <c r="C15" s="245">
        <f>SUM(C16:C21)</f>
        <v>4600000</v>
      </c>
      <c r="D15" s="245">
        <f t="shared" ref="D15:F15" si="3">SUM(D16:D21)</f>
        <v>574585.44000000006</v>
      </c>
      <c r="E15" s="245">
        <f t="shared" si="3"/>
        <v>0</v>
      </c>
      <c r="F15" s="245">
        <f t="shared" si="3"/>
        <v>574585.44000000006</v>
      </c>
      <c r="G15" s="207">
        <f t="shared" si="1"/>
        <v>12.490987826086958</v>
      </c>
      <c r="H15" s="207">
        <f t="shared" si="2"/>
        <v>12.490987826086958</v>
      </c>
    </row>
    <row r="16" spans="1:8">
      <c r="A16" s="120" t="s">
        <v>432</v>
      </c>
      <c r="B16" s="19">
        <f>'Výdaje podrobně a dohromady'!D223</f>
        <v>3545000</v>
      </c>
      <c r="C16" s="19">
        <f>'Výdaje podrobně a dohromady'!E223</f>
        <v>3545000</v>
      </c>
      <c r="D16" s="19">
        <f>F16-E16</f>
        <v>492615.81000000006</v>
      </c>
      <c r="E16" s="19">
        <f>'Výdaje podrobně a dohromady'!P222</f>
        <v>0</v>
      </c>
      <c r="F16" s="207">
        <f>'Výdaje podrobně a dohromady'!P223</f>
        <v>492615.81000000006</v>
      </c>
      <c r="G16" s="207">
        <f t="shared" si="1"/>
        <v>13.896073624823696</v>
      </c>
      <c r="H16" s="207">
        <f t="shared" si="2"/>
        <v>13.896073624823696</v>
      </c>
    </row>
    <row r="17" spans="1:8">
      <c r="A17" s="120" t="s">
        <v>428</v>
      </c>
      <c r="B17" s="19">
        <f>'Výdaje podrobně a dohromady'!D233</f>
        <v>105000</v>
      </c>
      <c r="C17" s="19">
        <f>'Výdaje podrobně a dohromady'!E233</f>
        <v>105000</v>
      </c>
      <c r="D17" s="19">
        <f t="shared" ref="D17:D21" si="4">F17-E17</f>
        <v>14727.939999999999</v>
      </c>
      <c r="E17" s="19">
        <v>0</v>
      </c>
      <c r="F17" s="207">
        <f>'Výdaje podrobně a dohromady'!P233</f>
        <v>14727.939999999999</v>
      </c>
      <c r="G17" s="207">
        <f t="shared" si="1"/>
        <v>14.026609523809523</v>
      </c>
      <c r="H17" s="207">
        <f t="shared" si="2"/>
        <v>14.026609523809523</v>
      </c>
    </row>
    <row r="18" spans="1:8">
      <c r="A18" s="120" t="s">
        <v>429</v>
      </c>
      <c r="B18" s="19">
        <f>'Výdaje podrobně a dohromady'!D239</f>
        <v>50000</v>
      </c>
      <c r="C18" s="19">
        <f>'Výdaje podrobně a dohromady'!E239</f>
        <v>50000</v>
      </c>
      <c r="D18" s="19">
        <f t="shared" si="4"/>
        <v>0</v>
      </c>
      <c r="E18" s="19">
        <v>0</v>
      </c>
      <c r="F18" s="207">
        <f>'Výdaje podrobně a dohromady'!P239</f>
        <v>0</v>
      </c>
      <c r="G18" s="207">
        <f t="shared" si="1"/>
        <v>0</v>
      </c>
      <c r="H18" s="207">
        <f t="shared" si="2"/>
        <v>0</v>
      </c>
    </row>
    <row r="19" spans="1:8">
      <c r="A19" s="120" t="s">
        <v>425</v>
      </c>
      <c r="B19" s="19">
        <f>'Výdaje podrobně a dohromady'!D247</f>
        <v>430000</v>
      </c>
      <c r="C19" s="19">
        <f>'Výdaje podrobně a dohromady'!E247</f>
        <v>430000</v>
      </c>
      <c r="D19" s="19">
        <f t="shared" si="4"/>
        <v>42241.7</v>
      </c>
      <c r="E19" s="19">
        <v>0</v>
      </c>
      <c r="F19" s="207">
        <f>'Výdaje podrobně a dohromady'!P247</f>
        <v>42241.7</v>
      </c>
      <c r="G19" s="207">
        <f t="shared" si="1"/>
        <v>9.8236511627906982</v>
      </c>
      <c r="H19" s="207">
        <f t="shared" si="2"/>
        <v>9.8236511627906982</v>
      </c>
    </row>
    <row r="20" spans="1:8">
      <c r="A20" s="120" t="s">
        <v>430</v>
      </c>
      <c r="B20" s="19">
        <f>'Výdaje podrobně a dohromady'!D252</f>
        <v>400000</v>
      </c>
      <c r="C20" s="19">
        <f>'Výdaje podrobně a dohromady'!E252</f>
        <v>400000</v>
      </c>
      <c r="D20" s="19">
        <f t="shared" si="4"/>
        <v>24999.99</v>
      </c>
      <c r="E20" s="19">
        <v>0</v>
      </c>
      <c r="F20" s="207">
        <f>'Výdaje podrobně a dohromady'!P252</f>
        <v>24999.99</v>
      </c>
      <c r="G20" s="207">
        <f t="shared" si="1"/>
        <v>6.249997500000001</v>
      </c>
      <c r="H20" s="207">
        <f t="shared" si="2"/>
        <v>6.249997500000001</v>
      </c>
    </row>
    <row r="21" spans="1:8">
      <c r="A21" s="120" t="s">
        <v>431</v>
      </c>
      <c r="B21" s="19">
        <f>'Výdaje podrobně a dohromady'!D256</f>
        <v>70000</v>
      </c>
      <c r="C21" s="19">
        <f>'Výdaje podrobně a dohromady'!E256</f>
        <v>70000</v>
      </c>
      <c r="D21" s="19">
        <f t="shared" si="4"/>
        <v>0</v>
      </c>
      <c r="E21" s="19">
        <v>0</v>
      </c>
      <c r="F21" s="207">
        <f>'Výdaje podrobně a dohromady'!P256</f>
        <v>0</v>
      </c>
      <c r="G21" s="207">
        <f t="shared" si="1"/>
        <v>0</v>
      </c>
      <c r="H21" s="207">
        <f t="shared" si="2"/>
        <v>0</v>
      </c>
    </row>
    <row r="22" spans="1:8" ht="25.5">
      <c r="A22" s="232" t="s">
        <v>456</v>
      </c>
      <c r="B22" s="86">
        <f>'Výdaje podrobně a dohromady'!D263</f>
        <v>200000</v>
      </c>
      <c r="C22" s="86">
        <f>'Výdaje podrobně a dohromady'!E263</f>
        <v>200000</v>
      </c>
      <c r="D22" s="86">
        <f>F22-E22</f>
        <v>0</v>
      </c>
      <c r="E22" s="86">
        <v>0</v>
      </c>
      <c r="F22" s="245">
        <f>'Výdaje podrobně a dohromady'!P263</f>
        <v>0</v>
      </c>
      <c r="G22" s="207">
        <f t="shared" si="1"/>
        <v>0</v>
      </c>
      <c r="H22" s="207">
        <f t="shared" si="2"/>
        <v>0</v>
      </c>
    </row>
    <row r="23" spans="1:8" ht="12.75" customHeight="1">
      <c r="A23" s="2" t="s">
        <v>459</v>
      </c>
      <c r="B23" s="86">
        <f>'Výdaje podrobně a dohromady'!D268</f>
        <v>200000</v>
      </c>
      <c r="C23" s="86">
        <f>'Výdaje podrobně a dohromady'!E268</f>
        <v>200000</v>
      </c>
      <c r="D23" s="86">
        <f t="shared" ref="D23:D42" si="5">F23-E23</f>
        <v>0</v>
      </c>
      <c r="E23" s="86">
        <v>0</v>
      </c>
      <c r="F23" s="245">
        <f>'Výdaje podrobně a dohromady'!P268</f>
        <v>0</v>
      </c>
      <c r="G23" s="207">
        <f t="shared" si="1"/>
        <v>0</v>
      </c>
      <c r="H23" s="207">
        <f t="shared" si="2"/>
        <v>0</v>
      </c>
    </row>
    <row r="24" spans="1:8">
      <c r="A24" s="2" t="s">
        <v>358</v>
      </c>
      <c r="B24" s="86">
        <f>'Výdaje podrobně a dohromady'!D276</f>
        <v>100000</v>
      </c>
      <c r="C24" s="86">
        <f>'Výdaje podrobně a dohromady'!E276</f>
        <v>100000</v>
      </c>
      <c r="D24" s="86">
        <f t="shared" si="5"/>
        <v>0</v>
      </c>
      <c r="E24" s="86">
        <v>0</v>
      </c>
      <c r="F24" s="245">
        <f>'Výdaje podrobně a dohromady'!P276</f>
        <v>0</v>
      </c>
      <c r="G24" s="207">
        <f t="shared" si="1"/>
        <v>0</v>
      </c>
      <c r="H24" s="207">
        <f t="shared" si="2"/>
        <v>0</v>
      </c>
    </row>
    <row r="25" spans="1:8">
      <c r="A25" s="2" t="s">
        <v>460</v>
      </c>
      <c r="B25" s="86">
        <f>'Výdaje podrobně a dohromady'!D281</f>
        <v>500000</v>
      </c>
      <c r="C25" s="86">
        <f>'Výdaje podrobně a dohromady'!E281</f>
        <v>500000</v>
      </c>
      <c r="D25" s="86">
        <f t="shared" si="5"/>
        <v>0</v>
      </c>
      <c r="E25" s="86">
        <v>0</v>
      </c>
      <c r="F25" s="245">
        <f>'Výdaje podrobně a dohromady'!P281</f>
        <v>0</v>
      </c>
      <c r="G25" s="207">
        <f t="shared" si="1"/>
        <v>0</v>
      </c>
      <c r="H25" s="207">
        <f t="shared" si="2"/>
        <v>0</v>
      </c>
    </row>
    <row r="26" spans="1:8">
      <c r="A26" s="2" t="s">
        <v>359</v>
      </c>
      <c r="B26" s="86">
        <f>'Výdaje podrobně a dohromady'!D289</f>
        <v>150000</v>
      </c>
      <c r="C26" s="86">
        <f>'Výdaje podrobně a dohromady'!E289</f>
        <v>150000</v>
      </c>
      <c r="D26" s="86">
        <f t="shared" si="5"/>
        <v>0</v>
      </c>
      <c r="E26" s="86">
        <v>0</v>
      </c>
      <c r="F26" s="245">
        <f>'Výdaje podrobně a dohromady'!P289</f>
        <v>0</v>
      </c>
      <c r="G26" s="207">
        <f t="shared" si="1"/>
        <v>0</v>
      </c>
      <c r="H26" s="207">
        <f t="shared" si="2"/>
        <v>0</v>
      </c>
    </row>
    <row r="27" spans="1:8">
      <c r="A27" s="2" t="s">
        <v>512</v>
      </c>
      <c r="B27" s="86">
        <f>'Výdaje podrobně a dohromady'!D294</f>
        <v>500000</v>
      </c>
      <c r="C27" s="86">
        <f>'Výdaje podrobně a dohromady'!E294</f>
        <v>500000</v>
      </c>
      <c r="D27" s="86">
        <f t="shared" si="5"/>
        <v>0</v>
      </c>
      <c r="E27" s="86">
        <f>'Výdaje podrobně a dohromady'!P293</f>
        <v>286120.23</v>
      </c>
      <c r="F27" s="245">
        <f>'Výdaje podrobně a dohromady'!P294</f>
        <v>286120.23</v>
      </c>
      <c r="G27" s="207">
        <f t="shared" si="1"/>
        <v>57.224045999999994</v>
      </c>
      <c r="H27" s="207">
        <f t="shared" si="2"/>
        <v>57.224045999999994</v>
      </c>
    </row>
    <row r="28" spans="1:8">
      <c r="A28" s="2" t="s">
        <v>18</v>
      </c>
      <c r="B28" s="86">
        <f>'Výdaje podrobně a dohromady'!D324</f>
        <v>11006000</v>
      </c>
      <c r="C28" s="86">
        <f>'Výdaje podrobně a dohromady'!E324</f>
        <v>11006000</v>
      </c>
      <c r="D28" s="86">
        <f t="shared" si="5"/>
        <v>1492052.6400000001</v>
      </c>
      <c r="E28" s="86">
        <f>'Výdaje podrobně a dohromady'!P323</f>
        <v>0</v>
      </c>
      <c r="F28" s="245">
        <f>'Výdaje podrobně a dohromady'!P324</f>
        <v>1492052.6400000001</v>
      </c>
      <c r="G28" s="207">
        <f t="shared" si="1"/>
        <v>13.556720334363076</v>
      </c>
      <c r="H28" s="207">
        <f t="shared" si="2"/>
        <v>13.556720334363076</v>
      </c>
    </row>
    <row r="29" spans="1:8">
      <c r="A29" s="2" t="s">
        <v>19</v>
      </c>
      <c r="B29" s="86">
        <f>'Výdaje podrobně a dohromady'!D336</f>
        <v>3480000</v>
      </c>
      <c r="C29" s="86">
        <f>'Výdaje podrobně a dohromady'!E336</f>
        <v>3480000</v>
      </c>
      <c r="D29" s="86">
        <f t="shared" si="5"/>
        <v>553592.15</v>
      </c>
      <c r="E29" s="86">
        <f>'Výdaje podrobně a dohromady'!P335</f>
        <v>3751</v>
      </c>
      <c r="F29" s="245">
        <f>'Výdaje podrobně a dohromady'!P336</f>
        <v>557343.15</v>
      </c>
      <c r="G29" s="207">
        <f t="shared" si="1"/>
        <v>16.015607758620689</v>
      </c>
      <c r="H29" s="207">
        <f t="shared" si="2"/>
        <v>16.015607758620689</v>
      </c>
    </row>
    <row r="30" spans="1:8">
      <c r="A30" s="2" t="s">
        <v>533</v>
      </c>
      <c r="B30" s="86">
        <f>'Výdaje podrobně a dohromady'!D341</f>
        <v>200000</v>
      </c>
      <c r="C30" s="86">
        <f>'Výdaje podrobně a dohromady'!E341</f>
        <v>200000</v>
      </c>
      <c r="D30" s="86">
        <f t="shared" si="5"/>
        <v>0</v>
      </c>
      <c r="E30" s="86">
        <f>'Výdaje podrobně a dohromady'!P340</f>
        <v>0</v>
      </c>
      <c r="F30" s="245">
        <f>'Výdaje podrobně a dohromady'!P341</f>
        <v>0</v>
      </c>
      <c r="G30" s="207">
        <f t="shared" si="1"/>
        <v>0</v>
      </c>
      <c r="H30" s="207">
        <f t="shared" si="2"/>
        <v>0</v>
      </c>
    </row>
    <row r="31" spans="1:8">
      <c r="A31" s="2" t="s">
        <v>20</v>
      </c>
      <c r="B31" s="86">
        <f>'Výdaje podrobně a dohromady'!D349</f>
        <v>700000</v>
      </c>
      <c r="C31" s="86">
        <f>'Výdaje podrobně a dohromady'!E349</f>
        <v>700000</v>
      </c>
      <c r="D31" s="86">
        <f t="shared" si="5"/>
        <v>98533.86</v>
      </c>
      <c r="E31" s="86">
        <f>'Výdaje podrobně a dohromady'!P348</f>
        <v>0</v>
      </c>
      <c r="F31" s="245">
        <f>'Výdaje podrobně a dohromady'!P349</f>
        <v>98533.86</v>
      </c>
      <c r="G31" s="207">
        <f t="shared" si="1"/>
        <v>14.076265714285716</v>
      </c>
      <c r="H31" s="207">
        <f t="shared" si="2"/>
        <v>14.076265714285716</v>
      </c>
    </row>
    <row r="32" spans="1:8">
      <c r="A32" s="2" t="s">
        <v>21</v>
      </c>
      <c r="B32" s="86">
        <f>'Výdaje podrobně a dohromady'!D356</f>
        <v>15000</v>
      </c>
      <c r="C32" s="86">
        <f>'Výdaje podrobně a dohromady'!E356</f>
        <v>15000</v>
      </c>
      <c r="D32" s="86">
        <f t="shared" si="5"/>
        <v>0</v>
      </c>
      <c r="E32" s="86">
        <v>0</v>
      </c>
      <c r="F32" s="245">
        <f>'Výdaje podrobně a dohromady'!P356</f>
        <v>0</v>
      </c>
      <c r="G32" s="207">
        <f t="shared" si="1"/>
        <v>0</v>
      </c>
      <c r="H32" s="207">
        <f t="shared" si="2"/>
        <v>0</v>
      </c>
    </row>
    <row r="33" spans="1:8">
      <c r="A33" s="2" t="s">
        <v>521</v>
      </c>
      <c r="B33" s="86">
        <f>'Výdaje podrobně a dohromady'!D361</f>
        <v>300000</v>
      </c>
      <c r="C33" s="86">
        <f>'Výdaje podrobně a dohromady'!E361</f>
        <v>300000</v>
      </c>
      <c r="D33" s="86">
        <f t="shared" si="5"/>
        <v>0</v>
      </c>
      <c r="E33" s="86">
        <f>'Výdaje podrobně a dohromady'!P360</f>
        <v>0</v>
      </c>
      <c r="F33" s="245">
        <f>'Výdaje podrobně a dohromady'!P361</f>
        <v>0</v>
      </c>
      <c r="G33" s="207">
        <f t="shared" si="1"/>
        <v>0</v>
      </c>
      <c r="H33" s="207">
        <f t="shared" si="2"/>
        <v>0</v>
      </c>
    </row>
    <row r="34" spans="1:8">
      <c r="A34" s="2" t="s">
        <v>545</v>
      </c>
      <c r="B34" s="86">
        <f>'Výdaje podrobně a dohromady'!D366</f>
        <v>200000</v>
      </c>
      <c r="C34" s="86">
        <f>'Výdaje podrobně a dohromady'!E366</f>
        <v>0</v>
      </c>
      <c r="D34" s="86">
        <f t="shared" si="5"/>
        <v>0</v>
      </c>
      <c r="E34" s="86">
        <f>'Výdaje podrobně a dohromady'!P365</f>
        <v>0</v>
      </c>
      <c r="F34" s="245">
        <f>'Výdaje podrobně a dohromady'!P366</f>
        <v>0</v>
      </c>
      <c r="G34" s="207">
        <v>0</v>
      </c>
      <c r="H34" s="207">
        <v>0</v>
      </c>
    </row>
    <row r="35" spans="1:8">
      <c r="A35" s="2" t="s">
        <v>520</v>
      </c>
      <c r="B35" s="86">
        <f>'Výdaje podrobně a dohromady'!D371</f>
        <v>0</v>
      </c>
      <c r="C35" s="86">
        <f>'Výdaje podrobně a dohromady'!E371</f>
        <v>200000</v>
      </c>
      <c r="D35" s="86">
        <f t="shared" si="5"/>
        <v>0</v>
      </c>
      <c r="E35" s="86">
        <f>'Výdaje podrobně a dohromady'!P370</f>
        <v>0</v>
      </c>
      <c r="F35" s="245">
        <f>'Výdaje podrobně a dohromady'!P371</f>
        <v>0</v>
      </c>
      <c r="G35" s="207">
        <v>0</v>
      </c>
      <c r="H35" s="207">
        <f t="shared" si="2"/>
        <v>0</v>
      </c>
    </row>
    <row r="36" spans="1:8">
      <c r="A36" s="2" t="s">
        <v>360</v>
      </c>
      <c r="B36" s="86">
        <f>'Výdaje podrobně a dohromady'!D379</f>
        <v>3130000</v>
      </c>
      <c r="C36" s="86">
        <f>'Výdaje podrobně a dohromady'!E379</f>
        <v>3130000</v>
      </c>
      <c r="D36" s="86">
        <f t="shared" si="5"/>
        <v>437194.97</v>
      </c>
      <c r="E36" s="86">
        <v>0</v>
      </c>
      <c r="F36" s="245">
        <f>'Výdaje podrobně a dohromady'!P379</f>
        <v>437194.97</v>
      </c>
      <c r="G36" s="207">
        <f t="shared" si="1"/>
        <v>13.967890415335463</v>
      </c>
      <c r="H36" s="207">
        <f t="shared" si="2"/>
        <v>13.967890415335463</v>
      </c>
    </row>
    <row r="37" spans="1:8">
      <c r="A37" s="2" t="s">
        <v>461</v>
      </c>
      <c r="B37" s="86">
        <f>'Výdaje podrobně a dohromady'!D407</f>
        <v>5600000</v>
      </c>
      <c r="C37" s="86">
        <f>'Výdaje podrobně a dohromady'!E407</f>
        <v>6545560</v>
      </c>
      <c r="D37" s="86">
        <f t="shared" si="5"/>
        <v>1059973.58</v>
      </c>
      <c r="E37" s="86">
        <f>'Výdaje podrobně a dohromady'!P405+'Výdaje podrobně a dohromady'!P406</f>
        <v>6000</v>
      </c>
      <c r="F37" s="245">
        <f>'Výdaje podrobně a dohromady'!P407</f>
        <v>1065973.58</v>
      </c>
      <c r="G37" s="207">
        <f t="shared" si="1"/>
        <v>19.035242500000003</v>
      </c>
      <c r="H37" s="207">
        <f t="shared" si="2"/>
        <v>16.285445095606793</v>
      </c>
    </row>
    <row r="38" spans="1:8" ht="25.5" customHeight="1">
      <c r="A38" s="232" t="s">
        <v>546</v>
      </c>
      <c r="B38" s="86">
        <f>'Výdaje podrobně a dohromady'!D414</f>
        <v>500000</v>
      </c>
      <c r="C38" s="86">
        <f>'Výdaje podrobně a dohromady'!E414</f>
        <v>500000</v>
      </c>
      <c r="D38" s="86">
        <f t="shared" si="5"/>
        <v>363490</v>
      </c>
      <c r="E38" s="86">
        <v>0</v>
      </c>
      <c r="F38" s="245">
        <f>'Výdaje podrobně a dohromady'!P414</f>
        <v>363490</v>
      </c>
      <c r="G38" s="207">
        <f t="shared" si="1"/>
        <v>72.697999999999993</v>
      </c>
      <c r="H38" s="207">
        <f t="shared" si="2"/>
        <v>72.697999999999993</v>
      </c>
    </row>
    <row r="39" spans="1:8">
      <c r="A39" s="2" t="s">
        <v>455</v>
      </c>
      <c r="B39" s="86">
        <f>'Výdaje podrobně a dohromady'!D428</f>
        <v>368000</v>
      </c>
      <c r="C39" s="86">
        <f>'Výdaje podrobně a dohromady'!E428</f>
        <v>368000</v>
      </c>
      <c r="D39" s="86">
        <f t="shared" si="5"/>
        <v>17472</v>
      </c>
      <c r="E39" s="86">
        <v>0</v>
      </c>
      <c r="F39" s="245">
        <f>'Výdaje podrobně a dohromady'!P428</f>
        <v>17472</v>
      </c>
      <c r="G39" s="207">
        <f t="shared" si="1"/>
        <v>4.7478260869565219</v>
      </c>
      <c r="H39" s="207">
        <f t="shared" si="2"/>
        <v>4.7478260869565219</v>
      </c>
    </row>
    <row r="40" spans="1:8">
      <c r="A40" s="2" t="s">
        <v>454</v>
      </c>
      <c r="B40" s="86">
        <f>'Výdaje podrobně a dohromady'!D448</f>
        <v>700000</v>
      </c>
      <c r="C40" s="86">
        <f>'Výdaje podrobně a dohromady'!E448</f>
        <v>700000</v>
      </c>
      <c r="D40" s="86">
        <f t="shared" si="5"/>
        <v>150654.21</v>
      </c>
      <c r="E40" s="86">
        <v>0</v>
      </c>
      <c r="F40" s="245">
        <f>'Výdaje podrobně a dohromady'!P448</f>
        <v>150654.21</v>
      </c>
      <c r="G40" s="207">
        <f t="shared" si="1"/>
        <v>21.522029999999997</v>
      </c>
      <c r="H40" s="207">
        <f t="shared" si="2"/>
        <v>21.522029999999997</v>
      </c>
    </row>
    <row r="41" spans="1:8">
      <c r="A41" s="2" t="s">
        <v>384</v>
      </c>
      <c r="B41" s="86">
        <f>'Výdaje podrobně a dohromady'!D455</f>
        <v>16500</v>
      </c>
      <c r="C41" s="86">
        <f>'Výdaje podrobně a dohromady'!E455</f>
        <v>16500</v>
      </c>
      <c r="D41" s="86">
        <f t="shared" si="5"/>
        <v>469.48</v>
      </c>
      <c r="E41" s="86">
        <v>0</v>
      </c>
      <c r="F41" s="245">
        <f>'Výdaje podrobně a dohromady'!P455</f>
        <v>469.48</v>
      </c>
      <c r="G41" s="207">
        <f t="shared" si="1"/>
        <v>2.8453333333333335</v>
      </c>
      <c r="H41" s="207">
        <f t="shared" si="2"/>
        <v>2.8453333333333335</v>
      </c>
    </row>
    <row r="42" spans="1:8" ht="11.25" customHeight="1">
      <c r="A42" s="2" t="s">
        <v>351</v>
      </c>
      <c r="B42" s="86">
        <f>'Výdaje podrobně a dohromady'!D460</f>
        <v>40000</v>
      </c>
      <c r="C42" s="86">
        <f>'Výdaje podrobně a dohromady'!E460</f>
        <v>40000</v>
      </c>
      <c r="D42" s="86">
        <f t="shared" si="5"/>
        <v>0</v>
      </c>
      <c r="E42" s="86">
        <v>0</v>
      </c>
      <c r="F42" s="245">
        <f>'Výdaje podrobně a dohromady'!P460</f>
        <v>0</v>
      </c>
      <c r="G42" s="207">
        <f t="shared" si="1"/>
        <v>0</v>
      </c>
      <c r="H42" s="207">
        <f t="shared" si="2"/>
        <v>0</v>
      </c>
    </row>
    <row r="43" spans="1:8">
      <c r="A43" s="2" t="s">
        <v>362</v>
      </c>
      <c r="B43" s="86">
        <f>SUM(B44:B45)</f>
        <v>785000</v>
      </c>
      <c r="C43" s="86">
        <f>SUM(C44:C45)</f>
        <v>885000</v>
      </c>
      <c r="D43" s="86">
        <f t="shared" ref="D43:E43" si="6">SUM(D44:D45)</f>
        <v>56510.43</v>
      </c>
      <c r="E43" s="86">
        <f t="shared" si="6"/>
        <v>0</v>
      </c>
      <c r="F43" s="245">
        <f>SUM(F44:F45)</f>
        <v>56510.43</v>
      </c>
      <c r="G43" s="207">
        <f t="shared" si="1"/>
        <v>7.1987808917197453</v>
      </c>
      <c r="H43" s="207">
        <f t="shared" si="2"/>
        <v>6.3853593220338984</v>
      </c>
    </row>
    <row r="44" spans="1:8">
      <c r="A44" s="120" t="s">
        <v>433</v>
      </c>
      <c r="B44" s="19">
        <f>'Výdaje podrobně a dohromady'!D481</f>
        <v>761000</v>
      </c>
      <c r="C44" s="19">
        <f>'Výdaje podrobně a dohromady'!E481</f>
        <v>761000</v>
      </c>
      <c r="D44" s="19">
        <f>F44-E44</f>
        <v>52732.43</v>
      </c>
      <c r="E44" s="19">
        <f>'Výdaje podrobně a dohromady'!P480</f>
        <v>0</v>
      </c>
      <c r="F44" s="207">
        <f>'Výdaje podrobně a dohromady'!P481</f>
        <v>52732.43</v>
      </c>
      <c r="G44" s="207">
        <f t="shared" si="1"/>
        <v>6.9293600525624184</v>
      </c>
      <c r="H44" s="207">
        <f t="shared" si="2"/>
        <v>6.9293600525624184</v>
      </c>
    </row>
    <row r="45" spans="1:8">
      <c r="A45" s="120" t="s">
        <v>434</v>
      </c>
      <c r="B45" s="19">
        <f>'Výdaje podrobně a dohromady'!D490</f>
        <v>24000</v>
      </c>
      <c r="C45" s="19">
        <f>'Výdaje podrobně a dohromady'!E490</f>
        <v>124000</v>
      </c>
      <c r="D45" s="19">
        <f>F45-E45</f>
        <v>3778</v>
      </c>
      <c r="E45" s="19">
        <f>'Výdaje podrobně a dohromady'!P489</f>
        <v>0</v>
      </c>
      <c r="F45" s="207">
        <f>'Výdaje podrobně a dohromady'!P490</f>
        <v>3778</v>
      </c>
      <c r="G45" s="207">
        <f t="shared" si="1"/>
        <v>15.741666666666667</v>
      </c>
      <c r="H45" s="207">
        <f t="shared" si="2"/>
        <v>3.0467741935483872</v>
      </c>
    </row>
    <row r="46" spans="1:8" ht="13.5" customHeight="1">
      <c r="A46" s="2" t="s">
        <v>363</v>
      </c>
      <c r="B46" s="86">
        <f>'Výdaje podrobně a dohromady'!D499</f>
        <v>1900000</v>
      </c>
      <c r="C46" s="86">
        <f>'Výdaje podrobně a dohromady'!E499</f>
        <v>1900000</v>
      </c>
      <c r="D46" s="86">
        <f>F46-E46</f>
        <v>405743</v>
      </c>
      <c r="E46" s="86">
        <v>0</v>
      </c>
      <c r="F46" s="245">
        <f>'Výdaje podrobně a dohromady'!P499</f>
        <v>405743</v>
      </c>
      <c r="G46" s="207">
        <f t="shared" si="1"/>
        <v>21.354894736842105</v>
      </c>
      <c r="H46" s="207">
        <f t="shared" si="2"/>
        <v>21.354894736842105</v>
      </c>
    </row>
    <row r="47" spans="1:8" ht="24" hidden="1" customHeight="1">
      <c r="A47" s="121" t="s">
        <v>388</v>
      </c>
      <c r="B47" s="84"/>
      <c r="C47" s="84"/>
      <c r="D47" s="86">
        <f t="shared" ref="D47:D54" si="7">F47-E47</f>
        <v>0</v>
      </c>
      <c r="E47" s="84"/>
      <c r="F47" s="246"/>
      <c r="G47" s="207" t="e">
        <f t="shared" si="1"/>
        <v>#DIV/0!</v>
      </c>
      <c r="H47" s="207" t="e">
        <f t="shared" si="2"/>
        <v>#DIV/0!</v>
      </c>
    </row>
    <row r="48" spans="1:8" ht="13.5" hidden="1" customHeight="1">
      <c r="A48" s="119" t="s">
        <v>389</v>
      </c>
      <c r="B48" s="84"/>
      <c r="C48" s="84"/>
      <c r="D48" s="86">
        <f t="shared" si="7"/>
        <v>0</v>
      </c>
      <c r="E48" s="84"/>
      <c r="F48" s="246"/>
      <c r="G48" s="207" t="e">
        <f t="shared" si="1"/>
        <v>#DIV/0!</v>
      </c>
      <c r="H48" s="207" t="e">
        <f t="shared" si="2"/>
        <v>#DIV/0!</v>
      </c>
    </row>
    <row r="49" spans="1:8" ht="13.5" customHeight="1">
      <c r="A49" s="2" t="s">
        <v>364</v>
      </c>
      <c r="B49" s="86">
        <f>'Výdaje podrobně a dohromady'!D543</f>
        <v>27616000</v>
      </c>
      <c r="C49" s="86">
        <f>'Výdaje podrobně a dohromady'!E543</f>
        <v>27639800</v>
      </c>
      <c r="D49" s="86">
        <f t="shared" si="7"/>
        <v>6473094.6400000006</v>
      </c>
      <c r="E49" s="86">
        <f>'Výdaje podrobně a dohromady'!P539+'Výdaje podrobně a dohromady'!P540+'Výdaje podrobně a dohromady'!P541+'Výdaje podrobně a dohromady'!P542</f>
        <v>159000</v>
      </c>
      <c r="F49" s="245">
        <f>'Výdaje podrobně a dohromady'!P543</f>
        <v>6632094.6400000006</v>
      </c>
      <c r="G49" s="207">
        <f t="shared" si="1"/>
        <v>24.015406431054465</v>
      </c>
      <c r="H49" s="207">
        <f t="shared" si="2"/>
        <v>23.994727313511678</v>
      </c>
    </row>
    <row r="50" spans="1:8" ht="12" customHeight="1">
      <c r="A50" s="251" t="s">
        <v>462</v>
      </c>
      <c r="B50" s="86">
        <f>'Výdaje podrobně a dohromady'!D548</f>
        <v>80000</v>
      </c>
      <c r="C50" s="86">
        <f>'Výdaje podrobně a dohromady'!E548</f>
        <v>80000</v>
      </c>
      <c r="D50" s="86">
        <f t="shared" si="7"/>
        <v>21274.73</v>
      </c>
      <c r="E50" s="86">
        <v>0</v>
      </c>
      <c r="F50" s="245">
        <f>'Výdaje podrobně a dohromady'!P548</f>
        <v>21274.73</v>
      </c>
      <c r="G50" s="207">
        <f t="shared" si="1"/>
        <v>26.593412500000003</v>
      </c>
      <c r="H50" s="207">
        <f t="shared" si="2"/>
        <v>26.593412500000003</v>
      </c>
    </row>
    <row r="51" spans="1:8" ht="12.75" customHeight="1">
      <c r="A51" s="251" t="s">
        <v>463</v>
      </c>
      <c r="B51" s="86">
        <f>'Výdaje podrobně a dohromady'!D554</f>
        <v>600000</v>
      </c>
      <c r="C51" s="86">
        <f>'Výdaje podrobně a dohromady'!E554</f>
        <v>200600000</v>
      </c>
      <c r="D51" s="86">
        <f t="shared" si="7"/>
        <v>37697027.240000002</v>
      </c>
      <c r="E51" s="86">
        <v>0</v>
      </c>
      <c r="F51" s="245">
        <f>'Výdaje podrobně a dohromady'!P554</f>
        <v>37697027.240000002</v>
      </c>
      <c r="G51" s="207">
        <f t="shared" si="1"/>
        <v>6282.8378733333338</v>
      </c>
      <c r="H51" s="207">
        <f t="shared" si="2"/>
        <v>18.792137208374875</v>
      </c>
    </row>
    <row r="52" spans="1:8" ht="13.5" customHeight="1">
      <c r="A52" s="122" t="s">
        <v>392</v>
      </c>
      <c r="B52" s="87">
        <f>'Výdaje podrobně a dohromady'!D559</f>
        <v>2000000</v>
      </c>
      <c r="C52" s="87">
        <f>'Výdaje podrobně a dohromady'!E559</f>
        <v>2000000</v>
      </c>
      <c r="D52" s="86">
        <f t="shared" si="7"/>
        <v>286887</v>
      </c>
      <c r="E52" s="87">
        <v>0</v>
      </c>
      <c r="F52" s="245">
        <f>'Výdaje podrobně a dohromady'!P559</f>
        <v>286887</v>
      </c>
      <c r="G52" s="207">
        <f t="shared" si="1"/>
        <v>14.34435</v>
      </c>
      <c r="H52" s="207">
        <f t="shared" si="2"/>
        <v>14.34435</v>
      </c>
    </row>
    <row r="53" spans="1:8" ht="13.5" customHeight="1">
      <c r="A53" s="123" t="s">
        <v>365</v>
      </c>
      <c r="B53" s="86">
        <f>'Výdaje podrobně a dohromady'!D564</f>
        <v>14500</v>
      </c>
      <c r="C53" s="86">
        <f>'Výdaje podrobně a dohromady'!E564</f>
        <v>27000</v>
      </c>
      <c r="D53" s="86">
        <f t="shared" si="7"/>
        <v>26368.05</v>
      </c>
      <c r="E53" s="86">
        <v>0</v>
      </c>
      <c r="F53" s="245">
        <f>'Výdaje podrobně a dohromady'!P564</f>
        <v>26368.05</v>
      </c>
      <c r="G53" s="207">
        <f t="shared" si="1"/>
        <v>181.84862068965518</v>
      </c>
      <c r="H53" s="207">
        <f t="shared" si="2"/>
        <v>97.659444444444446</v>
      </c>
    </row>
    <row r="54" spans="1:8">
      <c r="A54" s="251" t="s">
        <v>464</v>
      </c>
      <c r="B54" s="86">
        <f>'Výdaje podrobně a dohromady'!D570</f>
        <v>185000</v>
      </c>
      <c r="C54" s="86">
        <f>'Výdaje podrobně a dohromady'!E570</f>
        <v>185000</v>
      </c>
      <c r="D54" s="86">
        <f t="shared" si="7"/>
        <v>96485</v>
      </c>
      <c r="E54" s="86">
        <v>0</v>
      </c>
      <c r="F54" s="245">
        <f>'Výdaje podrobně a dohromady'!P570</f>
        <v>96485</v>
      </c>
      <c r="G54" s="207">
        <f t="shared" si="1"/>
        <v>52.154054054054058</v>
      </c>
      <c r="H54" s="207">
        <f t="shared" si="2"/>
        <v>52.154054054054058</v>
      </c>
    </row>
    <row r="55" spans="1:8" ht="14.25" customHeight="1">
      <c r="A55" s="119" t="s">
        <v>22</v>
      </c>
      <c r="B55" s="86">
        <f>SUM(B56:B58)</f>
        <v>250000</v>
      </c>
      <c r="C55" s="86">
        <f t="shared" ref="C55:F55" si="8">SUM(C56:C58)</f>
        <v>250000</v>
      </c>
      <c r="D55" s="86">
        <f t="shared" si="8"/>
        <v>0</v>
      </c>
      <c r="E55" s="86">
        <f t="shared" si="8"/>
        <v>0</v>
      </c>
      <c r="F55" s="86">
        <f t="shared" si="8"/>
        <v>0</v>
      </c>
      <c r="G55" s="207">
        <f t="shared" si="1"/>
        <v>0</v>
      </c>
      <c r="H55" s="207">
        <f t="shared" si="2"/>
        <v>0</v>
      </c>
    </row>
    <row r="56" spans="1:8" ht="14.25" customHeight="1">
      <c r="A56" s="120" t="s">
        <v>435</v>
      </c>
      <c r="B56" s="19">
        <f>'Výdaje podrobně a dohromady'!D574</f>
        <v>50000</v>
      </c>
      <c r="C56" s="19">
        <f>'Výdaje podrobně a dohromady'!E574</f>
        <v>50000</v>
      </c>
      <c r="D56" s="19">
        <f>F56-E56</f>
        <v>0</v>
      </c>
      <c r="E56" s="19">
        <v>0</v>
      </c>
      <c r="F56" s="207">
        <f>'Výdaje podrobně a dohromady'!P574</f>
        <v>0</v>
      </c>
      <c r="G56" s="207">
        <f t="shared" si="1"/>
        <v>0</v>
      </c>
      <c r="H56" s="207">
        <f t="shared" si="2"/>
        <v>0</v>
      </c>
    </row>
    <row r="57" spans="1:8" ht="14.25" customHeight="1">
      <c r="A57" s="120" t="s">
        <v>436</v>
      </c>
      <c r="B57" s="19">
        <f>'Výdaje podrobně a dohromady'!D575</f>
        <v>50000</v>
      </c>
      <c r="C57" s="19">
        <f>'Výdaje podrobně a dohromady'!E575</f>
        <v>50000</v>
      </c>
      <c r="D57" s="19">
        <f t="shared" ref="D57:D58" si="9">F57-E57</f>
        <v>0</v>
      </c>
      <c r="E57" s="19">
        <v>0</v>
      </c>
      <c r="F57" s="207">
        <f>'Výdaje podrobně a dohromady'!P575</f>
        <v>0</v>
      </c>
      <c r="G57" s="207">
        <f t="shared" si="1"/>
        <v>0</v>
      </c>
      <c r="H57" s="207">
        <f t="shared" si="2"/>
        <v>0</v>
      </c>
    </row>
    <row r="58" spans="1:8" ht="14.25" customHeight="1">
      <c r="A58" s="120" t="s">
        <v>437</v>
      </c>
      <c r="B58" s="19">
        <f>'Výdaje podrobně a dohromady'!D576</f>
        <v>150000</v>
      </c>
      <c r="C58" s="19">
        <f>'Výdaje podrobně a dohromady'!E576</f>
        <v>150000</v>
      </c>
      <c r="D58" s="19">
        <f t="shared" si="9"/>
        <v>0</v>
      </c>
      <c r="E58" s="19">
        <v>0</v>
      </c>
      <c r="F58" s="207">
        <f>'Výdaje podrobně a dohromady'!P576</f>
        <v>0</v>
      </c>
      <c r="G58" s="207">
        <f t="shared" si="1"/>
        <v>0</v>
      </c>
      <c r="H58" s="207">
        <f t="shared" si="2"/>
        <v>0</v>
      </c>
    </row>
    <row r="59" spans="1:8" ht="18">
      <c r="A59" s="124" t="s">
        <v>24</v>
      </c>
      <c r="B59" s="257">
        <f>B4+B5+B6+B7+B8+B9+B10+B11+B12+B13+B14+B15+B22+B23+B24+B25+B26+B27+B28+B29+B30+B31+B32+B33+B34+B35+B36+B37+B38+B39+B40+B41+B42+B43+B46+B49+B50+B51+B52+B53+B54+B55</f>
        <v>109898410</v>
      </c>
      <c r="C59" s="257">
        <f t="shared" ref="C59:F59" si="10">C4+C5+C6+C7+C8+C9+C10+C11+C12+C13+C14+C15+C22+C23+C24+C25+C26+C27+C28+C29+C30+C31+C32+C33+C34+C35+C36+C37+C38+C39+C40+C41+C42+C43+C46+C49+C50+C51+C52+C53+C54+C55</f>
        <v>310408840</v>
      </c>
      <c r="D59" s="257">
        <f t="shared" si="10"/>
        <v>52292843.280000001</v>
      </c>
      <c r="E59" s="257">
        <f t="shared" si="10"/>
        <v>579298.32999999996</v>
      </c>
      <c r="F59" s="257">
        <f t="shared" si="10"/>
        <v>52872141.609999999</v>
      </c>
      <c r="G59" s="207">
        <f t="shared" ref="G59" si="11">F59/B59*100</f>
        <v>48.110015067551934</v>
      </c>
      <c r="H59" s="207">
        <f t="shared" ref="H59" si="12">F59/C59*100</f>
        <v>17.033065685242725</v>
      </c>
    </row>
    <row r="61" spans="1:8" hidden="1">
      <c r="A61" s="252" t="s">
        <v>452</v>
      </c>
    </row>
    <row r="62" spans="1:8" hidden="1"/>
    <row r="63" spans="1:8" hidden="1"/>
    <row r="64" spans="1:8" hidden="1"/>
    <row r="65" spans="1:5" hidden="1">
      <c r="A65" s="253"/>
    </row>
    <row r="66" spans="1:5" hidden="1">
      <c r="A66" s="252" t="s">
        <v>448</v>
      </c>
    </row>
    <row r="67" spans="1:5" hidden="1"/>
    <row r="68" spans="1:5" hidden="1"/>
    <row r="69" spans="1:5" hidden="1">
      <c r="B69" s="254" t="s">
        <v>449</v>
      </c>
      <c r="C69" s="254"/>
      <c r="D69" s="254"/>
      <c r="E69" s="254"/>
    </row>
    <row r="70" spans="1:5" hidden="1">
      <c r="B70" s="255" t="s">
        <v>453</v>
      </c>
      <c r="C70" s="255"/>
      <c r="D70" s="255"/>
      <c r="E70" s="255"/>
    </row>
    <row r="71" spans="1:5" hidden="1"/>
    <row r="78" spans="1:5">
      <c r="A78" s="256"/>
    </row>
    <row r="79" spans="1:5">
      <c r="A79" s="253"/>
    </row>
  </sheetData>
  <sheetProtection password="CC33" sheet="1" objects="1" scenarios="1"/>
  <hyperlinks>
    <hyperlink ref="A47" location="'6115'!A1" display="'6115'!A1"/>
    <hyperlink ref="A48" location="'6117'!A1" display="6117 - Volby do Evropského parlamentu"/>
    <hyperlink ref="A52" location="'6399'!A1" display="6399 - Ostatní finanční operace"/>
    <hyperlink ref="A53" location="'6402'!A1" display="6402 - Finanční vypořádání minulých let"/>
    <hyperlink ref="A55" location="'Vytváření rezerv'!A1" display="Vytváření rezerv"/>
    <hyperlink ref="A50" location="'6310'!A1" display="6310 - Obecné příjmy a výdaje z finančních operací (služby peněžních ústavů)"/>
    <hyperlink ref="A51" location="'6330'!A1" display="6330 - Převody vlastním fondům v rozpočtech územní úrovně "/>
    <hyperlink ref="A54" location="'6409'!A1" display="6409 - Ostatní činnosti jinde nazařazené ( příspěvek do mikroregionu )"/>
  </hyperlinks>
  <pageMargins left="0.19685039370078741" right="0.19685039370078741" top="0.19685039370078741" bottom="0.19685039370078741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zoomScaleNormal="100" workbookViewId="0">
      <selection activeCell="H1" sqref="H1"/>
    </sheetView>
  </sheetViews>
  <sheetFormatPr defaultRowHeight="12.75"/>
  <cols>
    <col min="1" max="1" width="5.140625" customWidth="1"/>
    <col min="2" max="2" width="47.7109375" customWidth="1"/>
    <col min="3" max="3" width="12" style="14" hidden="1" customWidth="1"/>
    <col min="4" max="4" width="13.28515625" style="14" hidden="1" customWidth="1"/>
    <col min="5" max="5" width="13.42578125" style="14" hidden="1" customWidth="1"/>
    <col min="6" max="6" width="12.85546875" hidden="1" customWidth="1"/>
    <col min="8" max="8" width="15.28515625" customWidth="1"/>
    <col min="256" max="256" width="5.140625" customWidth="1"/>
    <col min="257" max="257" width="47.7109375" customWidth="1"/>
    <col min="258" max="258" width="12" customWidth="1"/>
    <col min="259" max="259" width="13.28515625" customWidth="1"/>
    <col min="260" max="260" width="13.42578125" customWidth="1"/>
    <col min="261" max="261" width="12.85546875" customWidth="1"/>
    <col min="512" max="512" width="5.140625" customWidth="1"/>
    <col min="513" max="513" width="47.7109375" customWidth="1"/>
    <col min="514" max="514" width="12" customWidth="1"/>
    <col min="515" max="515" width="13.28515625" customWidth="1"/>
    <col min="516" max="516" width="13.42578125" customWidth="1"/>
    <col min="517" max="517" width="12.85546875" customWidth="1"/>
    <col min="768" max="768" width="5.140625" customWidth="1"/>
    <col min="769" max="769" width="47.7109375" customWidth="1"/>
    <col min="770" max="770" width="12" customWidth="1"/>
    <col min="771" max="771" width="13.28515625" customWidth="1"/>
    <col min="772" max="772" width="13.42578125" customWidth="1"/>
    <col min="773" max="773" width="12.85546875" customWidth="1"/>
    <col min="1024" max="1024" width="5.140625" customWidth="1"/>
    <col min="1025" max="1025" width="47.7109375" customWidth="1"/>
    <col min="1026" max="1026" width="12" customWidth="1"/>
    <col min="1027" max="1027" width="13.28515625" customWidth="1"/>
    <col min="1028" max="1028" width="13.42578125" customWidth="1"/>
    <col min="1029" max="1029" width="12.85546875" customWidth="1"/>
    <col min="1280" max="1280" width="5.140625" customWidth="1"/>
    <col min="1281" max="1281" width="47.7109375" customWidth="1"/>
    <col min="1282" max="1282" width="12" customWidth="1"/>
    <col min="1283" max="1283" width="13.28515625" customWidth="1"/>
    <col min="1284" max="1284" width="13.42578125" customWidth="1"/>
    <col min="1285" max="1285" width="12.85546875" customWidth="1"/>
    <col min="1536" max="1536" width="5.140625" customWidth="1"/>
    <col min="1537" max="1537" width="47.7109375" customWidth="1"/>
    <col min="1538" max="1538" width="12" customWidth="1"/>
    <col min="1539" max="1539" width="13.28515625" customWidth="1"/>
    <col min="1540" max="1540" width="13.42578125" customWidth="1"/>
    <col min="1541" max="1541" width="12.85546875" customWidth="1"/>
    <col min="1792" max="1792" width="5.140625" customWidth="1"/>
    <col min="1793" max="1793" width="47.7109375" customWidth="1"/>
    <col min="1794" max="1794" width="12" customWidth="1"/>
    <col min="1795" max="1795" width="13.28515625" customWidth="1"/>
    <col min="1796" max="1796" width="13.42578125" customWidth="1"/>
    <col min="1797" max="1797" width="12.85546875" customWidth="1"/>
    <col min="2048" max="2048" width="5.140625" customWidth="1"/>
    <col min="2049" max="2049" width="47.7109375" customWidth="1"/>
    <col min="2050" max="2050" width="12" customWidth="1"/>
    <col min="2051" max="2051" width="13.28515625" customWidth="1"/>
    <col min="2052" max="2052" width="13.42578125" customWidth="1"/>
    <col min="2053" max="2053" width="12.85546875" customWidth="1"/>
    <col min="2304" max="2304" width="5.140625" customWidth="1"/>
    <col min="2305" max="2305" width="47.7109375" customWidth="1"/>
    <col min="2306" max="2306" width="12" customWidth="1"/>
    <col min="2307" max="2307" width="13.28515625" customWidth="1"/>
    <col min="2308" max="2308" width="13.42578125" customWidth="1"/>
    <col min="2309" max="2309" width="12.85546875" customWidth="1"/>
    <col min="2560" max="2560" width="5.140625" customWidth="1"/>
    <col min="2561" max="2561" width="47.7109375" customWidth="1"/>
    <col min="2562" max="2562" width="12" customWidth="1"/>
    <col min="2563" max="2563" width="13.28515625" customWidth="1"/>
    <col min="2564" max="2564" width="13.42578125" customWidth="1"/>
    <col min="2565" max="2565" width="12.85546875" customWidth="1"/>
    <col min="2816" max="2816" width="5.140625" customWidth="1"/>
    <col min="2817" max="2817" width="47.7109375" customWidth="1"/>
    <col min="2818" max="2818" width="12" customWidth="1"/>
    <col min="2819" max="2819" width="13.28515625" customWidth="1"/>
    <col min="2820" max="2820" width="13.42578125" customWidth="1"/>
    <col min="2821" max="2821" width="12.85546875" customWidth="1"/>
    <col min="3072" max="3072" width="5.140625" customWidth="1"/>
    <col min="3073" max="3073" width="47.7109375" customWidth="1"/>
    <col min="3074" max="3074" width="12" customWidth="1"/>
    <col min="3075" max="3075" width="13.28515625" customWidth="1"/>
    <col min="3076" max="3076" width="13.42578125" customWidth="1"/>
    <col min="3077" max="3077" width="12.85546875" customWidth="1"/>
    <col min="3328" max="3328" width="5.140625" customWidth="1"/>
    <col min="3329" max="3329" width="47.7109375" customWidth="1"/>
    <col min="3330" max="3330" width="12" customWidth="1"/>
    <col min="3331" max="3331" width="13.28515625" customWidth="1"/>
    <col min="3332" max="3332" width="13.42578125" customWidth="1"/>
    <col min="3333" max="3333" width="12.85546875" customWidth="1"/>
    <col min="3584" max="3584" width="5.140625" customWidth="1"/>
    <col min="3585" max="3585" width="47.7109375" customWidth="1"/>
    <col min="3586" max="3586" width="12" customWidth="1"/>
    <col min="3587" max="3587" width="13.28515625" customWidth="1"/>
    <col min="3588" max="3588" width="13.42578125" customWidth="1"/>
    <col min="3589" max="3589" width="12.85546875" customWidth="1"/>
    <col min="3840" max="3840" width="5.140625" customWidth="1"/>
    <col min="3841" max="3841" width="47.7109375" customWidth="1"/>
    <col min="3842" max="3842" width="12" customWidth="1"/>
    <col min="3843" max="3843" width="13.28515625" customWidth="1"/>
    <col min="3844" max="3844" width="13.42578125" customWidth="1"/>
    <col min="3845" max="3845" width="12.85546875" customWidth="1"/>
    <col min="4096" max="4096" width="5.140625" customWidth="1"/>
    <col min="4097" max="4097" width="47.7109375" customWidth="1"/>
    <col min="4098" max="4098" width="12" customWidth="1"/>
    <col min="4099" max="4099" width="13.28515625" customWidth="1"/>
    <col min="4100" max="4100" width="13.42578125" customWidth="1"/>
    <col min="4101" max="4101" width="12.85546875" customWidth="1"/>
    <col min="4352" max="4352" width="5.140625" customWidth="1"/>
    <col min="4353" max="4353" width="47.7109375" customWidth="1"/>
    <col min="4354" max="4354" width="12" customWidth="1"/>
    <col min="4355" max="4355" width="13.28515625" customWidth="1"/>
    <col min="4356" max="4356" width="13.42578125" customWidth="1"/>
    <col min="4357" max="4357" width="12.85546875" customWidth="1"/>
    <col min="4608" max="4608" width="5.140625" customWidth="1"/>
    <col min="4609" max="4609" width="47.7109375" customWidth="1"/>
    <col min="4610" max="4610" width="12" customWidth="1"/>
    <col min="4611" max="4611" width="13.28515625" customWidth="1"/>
    <col min="4612" max="4612" width="13.42578125" customWidth="1"/>
    <col min="4613" max="4613" width="12.85546875" customWidth="1"/>
    <col min="4864" max="4864" width="5.140625" customWidth="1"/>
    <col min="4865" max="4865" width="47.7109375" customWidth="1"/>
    <col min="4866" max="4866" width="12" customWidth="1"/>
    <col min="4867" max="4867" width="13.28515625" customWidth="1"/>
    <col min="4868" max="4868" width="13.42578125" customWidth="1"/>
    <col min="4869" max="4869" width="12.85546875" customWidth="1"/>
    <col min="5120" max="5120" width="5.140625" customWidth="1"/>
    <col min="5121" max="5121" width="47.7109375" customWidth="1"/>
    <col min="5122" max="5122" width="12" customWidth="1"/>
    <col min="5123" max="5123" width="13.28515625" customWidth="1"/>
    <col min="5124" max="5124" width="13.42578125" customWidth="1"/>
    <col min="5125" max="5125" width="12.85546875" customWidth="1"/>
    <col min="5376" max="5376" width="5.140625" customWidth="1"/>
    <col min="5377" max="5377" width="47.7109375" customWidth="1"/>
    <col min="5378" max="5378" width="12" customWidth="1"/>
    <col min="5379" max="5379" width="13.28515625" customWidth="1"/>
    <col min="5380" max="5380" width="13.42578125" customWidth="1"/>
    <col min="5381" max="5381" width="12.85546875" customWidth="1"/>
    <col min="5632" max="5632" width="5.140625" customWidth="1"/>
    <col min="5633" max="5633" width="47.7109375" customWidth="1"/>
    <col min="5634" max="5634" width="12" customWidth="1"/>
    <col min="5635" max="5635" width="13.28515625" customWidth="1"/>
    <col min="5636" max="5636" width="13.42578125" customWidth="1"/>
    <col min="5637" max="5637" width="12.85546875" customWidth="1"/>
    <col min="5888" max="5888" width="5.140625" customWidth="1"/>
    <col min="5889" max="5889" width="47.7109375" customWidth="1"/>
    <col min="5890" max="5890" width="12" customWidth="1"/>
    <col min="5891" max="5891" width="13.28515625" customWidth="1"/>
    <col min="5892" max="5892" width="13.42578125" customWidth="1"/>
    <col min="5893" max="5893" width="12.85546875" customWidth="1"/>
    <col min="6144" max="6144" width="5.140625" customWidth="1"/>
    <col min="6145" max="6145" width="47.7109375" customWidth="1"/>
    <col min="6146" max="6146" width="12" customWidth="1"/>
    <col min="6147" max="6147" width="13.28515625" customWidth="1"/>
    <col min="6148" max="6148" width="13.42578125" customWidth="1"/>
    <col min="6149" max="6149" width="12.85546875" customWidth="1"/>
    <col min="6400" max="6400" width="5.140625" customWidth="1"/>
    <col min="6401" max="6401" width="47.7109375" customWidth="1"/>
    <col min="6402" max="6402" width="12" customWidth="1"/>
    <col min="6403" max="6403" width="13.28515625" customWidth="1"/>
    <col min="6404" max="6404" width="13.42578125" customWidth="1"/>
    <col min="6405" max="6405" width="12.85546875" customWidth="1"/>
    <col min="6656" max="6656" width="5.140625" customWidth="1"/>
    <col min="6657" max="6657" width="47.7109375" customWidth="1"/>
    <col min="6658" max="6658" width="12" customWidth="1"/>
    <col min="6659" max="6659" width="13.28515625" customWidth="1"/>
    <col min="6660" max="6660" width="13.42578125" customWidth="1"/>
    <col min="6661" max="6661" width="12.85546875" customWidth="1"/>
    <col min="6912" max="6912" width="5.140625" customWidth="1"/>
    <col min="6913" max="6913" width="47.7109375" customWidth="1"/>
    <col min="6914" max="6914" width="12" customWidth="1"/>
    <col min="6915" max="6915" width="13.28515625" customWidth="1"/>
    <col min="6916" max="6916" width="13.42578125" customWidth="1"/>
    <col min="6917" max="6917" width="12.85546875" customWidth="1"/>
    <col min="7168" max="7168" width="5.140625" customWidth="1"/>
    <col min="7169" max="7169" width="47.7109375" customWidth="1"/>
    <col min="7170" max="7170" width="12" customWidth="1"/>
    <col min="7171" max="7171" width="13.28515625" customWidth="1"/>
    <col min="7172" max="7172" width="13.42578125" customWidth="1"/>
    <col min="7173" max="7173" width="12.85546875" customWidth="1"/>
    <col min="7424" max="7424" width="5.140625" customWidth="1"/>
    <col min="7425" max="7425" width="47.7109375" customWidth="1"/>
    <col min="7426" max="7426" width="12" customWidth="1"/>
    <col min="7427" max="7427" width="13.28515625" customWidth="1"/>
    <col min="7428" max="7428" width="13.42578125" customWidth="1"/>
    <col min="7429" max="7429" width="12.85546875" customWidth="1"/>
    <col min="7680" max="7680" width="5.140625" customWidth="1"/>
    <col min="7681" max="7681" width="47.7109375" customWidth="1"/>
    <col min="7682" max="7682" width="12" customWidth="1"/>
    <col min="7683" max="7683" width="13.28515625" customWidth="1"/>
    <col min="7684" max="7684" width="13.42578125" customWidth="1"/>
    <col min="7685" max="7685" width="12.85546875" customWidth="1"/>
    <col min="7936" max="7936" width="5.140625" customWidth="1"/>
    <col min="7937" max="7937" width="47.7109375" customWidth="1"/>
    <col min="7938" max="7938" width="12" customWidth="1"/>
    <col min="7939" max="7939" width="13.28515625" customWidth="1"/>
    <col min="7940" max="7940" width="13.42578125" customWidth="1"/>
    <col min="7941" max="7941" width="12.85546875" customWidth="1"/>
    <col min="8192" max="8192" width="5.140625" customWidth="1"/>
    <col min="8193" max="8193" width="47.7109375" customWidth="1"/>
    <col min="8194" max="8194" width="12" customWidth="1"/>
    <col min="8195" max="8195" width="13.28515625" customWidth="1"/>
    <col min="8196" max="8196" width="13.42578125" customWidth="1"/>
    <col min="8197" max="8197" width="12.85546875" customWidth="1"/>
    <col min="8448" max="8448" width="5.140625" customWidth="1"/>
    <col min="8449" max="8449" width="47.7109375" customWidth="1"/>
    <col min="8450" max="8450" width="12" customWidth="1"/>
    <col min="8451" max="8451" width="13.28515625" customWidth="1"/>
    <col min="8452" max="8452" width="13.42578125" customWidth="1"/>
    <col min="8453" max="8453" width="12.85546875" customWidth="1"/>
    <col min="8704" max="8704" width="5.140625" customWidth="1"/>
    <col min="8705" max="8705" width="47.7109375" customWidth="1"/>
    <col min="8706" max="8706" width="12" customWidth="1"/>
    <col min="8707" max="8707" width="13.28515625" customWidth="1"/>
    <col min="8708" max="8708" width="13.42578125" customWidth="1"/>
    <col min="8709" max="8709" width="12.85546875" customWidth="1"/>
    <col min="8960" max="8960" width="5.140625" customWidth="1"/>
    <col min="8961" max="8961" width="47.7109375" customWidth="1"/>
    <col min="8962" max="8962" width="12" customWidth="1"/>
    <col min="8963" max="8963" width="13.28515625" customWidth="1"/>
    <col min="8964" max="8964" width="13.42578125" customWidth="1"/>
    <col min="8965" max="8965" width="12.85546875" customWidth="1"/>
    <col min="9216" max="9216" width="5.140625" customWidth="1"/>
    <col min="9217" max="9217" width="47.7109375" customWidth="1"/>
    <col min="9218" max="9218" width="12" customWidth="1"/>
    <col min="9219" max="9219" width="13.28515625" customWidth="1"/>
    <col min="9220" max="9220" width="13.42578125" customWidth="1"/>
    <col min="9221" max="9221" width="12.85546875" customWidth="1"/>
    <col min="9472" max="9472" width="5.140625" customWidth="1"/>
    <col min="9473" max="9473" width="47.7109375" customWidth="1"/>
    <col min="9474" max="9474" width="12" customWidth="1"/>
    <col min="9475" max="9475" width="13.28515625" customWidth="1"/>
    <col min="9476" max="9476" width="13.42578125" customWidth="1"/>
    <col min="9477" max="9477" width="12.85546875" customWidth="1"/>
    <col min="9728" max="9728" width="5.140625" customWidth="1"/>
    <col min="9729" max="9729" width="47.7109375" customWidth="1"/>
    <col min="9730" max="9730" width="12" customWidth="1"/>
    <col min="9731" max="9731" width="13.28515625" customWidth="1"/>
    <col min="9732" max="9732" width="13.42578125" customWidth="1"/>
    <col min="9733" max="9733" width="12.85546875" customWidth="1"/>
    <col min="9984" max="9984" width="5.140625" customWidth="1"/>
    <col min="9985" max="9985" width="47.7109375" customWidth="1"/>
    <col min="9986" max="9986" width="12" customWidth="1"/>
    <col min="9987" max="9987" width="13.28515625" customWidth="1"/>
    <col min="9988" max="9988" width="13.42578125" customWidth="1"/>
    <col min="9989" max="9989" width="12.85546875" customWidth="1"/>
    <col min="10240" max="10240" width="5.140625" customWidth="1"/>
    <col min="10241" max="10241" width="47.7109375" customWidth="1"/>
    <col min="10242" max="10242" width="12" customWidth="1"/>
    <col min="10243" max="10243" width="13.28515625" customWidth="1"/>
    <col min="10244" max="10244" width="13.42578125" customWidth="1"/>
    <col min="10245" max="10245" width="12.85546875" customWidth="1"/>
    <col min="10496" max="10496" width="5.140625" customWidth="1"/>
    <col min="10497" max="10497" width="47.7109375" customWidth="1"/>
    <col min="10498" max="10498" width="12" customWidth="1"/>
    <col min="10499" max="10499" width="13.28515625" customWidth="1"/>
    <col min="10500" max="10500" width="13.42578125" customWidth="1"/>
    <col min="10501" max="10501" width="12.85546875" customWidth="1"/>
    <col min="10752" max="10752" width="5.140625" customWidth="1"/>
    <col min="10753" max="10753" width="47.7109375" customWidth="1"/>
    <col min="10754" max="10754" width="12" customWidth="1"/>
    <col min="10755" max="10755" width="13.28515625" customWidth="1"/>
    <col min="10756" max="10756" width="13.42578125" customWidth="1"/>
    <col min="10757" max="10757" width="12.85546875" customWidth="1"/>
    <col min="11008" max="11008" width="5.140625" customWidth="1"/>
    <col min="11009" max="11009" width="47.7109375" customWidth="1"/>
    <col min="11010" max="11010" width="12" customWidth="1"/>
    <col min="11011" max="11011" width="13.28515625" customWidth="1"/>
    <col min="11012" max="11012" width="13.42578125" customWidth="1"/>
    <col min="11013" max="11013" width="12.85546875" customWidth="1"/>
    <col min="11264" max="11264" width="5.140625" customWidth="1"/>
    <col min="11265" max="11265" width="47.7109375" customWidth="1"/>
    <col min="11266" max="11266" width="12" customWidth="1"/>
    <col min="11267" max="11267" width="13.28515625" customWidth="1"/>
    <col min="11268" max="11268" width="13.42578125" customWidth="1"/>
    <col min="11269" max="11269" width="12.85546875" customWidth="1"/>
    <col min="11520" max="11520" width="5.140625" customWidth="1"/>
    <col min="11521" max="11521" width="47.7109375" customWidth="1"/>
    <col min="11522" max="11522" width="12" customWidth="1"/>
    <col min="11523" max="11523" width="13.28515625" customWidth="1"/>
    <col min="11524" max="11524" width="13.42578125" customWidth="1"/>
    <col min="11525" max="11525" width="12.85546875" customWidth="1"/>
    <col min="11776" max="11776" width="5.140625" customWidth="1"/>
    <col min="11777" max="11777" width="47.7109375" customWidth="1"/>
    <col min="11778" max="11778" width="12" customWidth="1"/>
    <col min="11779" max="11779" width="13.28515625" customWidth="1"/>
    <col min="11780" max="11780" width="13.42578125" customWidth="1"/>
    <col min="11781" max="11781" width="12.85546875" customWidth="1"/>
    <col min="12032" max="12032" width="5.140625" customWidth="1"/>
    <col min="12033" max="12033" width="47.7109375" customWidth="1"/>
    <col min="12034" max="12034" width="12" customWidth="1"/>
    <col min="12035" max="12035" width="13.28515625" customWidth="1"/>
    <col min="12036" max="12036" width="13.42578125" customWidth="1"/>
    <col min="12037" max="12037" width="12.85546875" customWidth="1"/>
    <col min="12288" max="12288" width="5.140625" customWidth="1"/>
    <col min="12289" max="12289" width="47.7109375" customWidth="1"/>
    <col min="12290" max="12290" width="12" customWidth="1"/>
    <col min="12291" max="12291" width="13.28515625" customWidth="1"/>
    <col min="12292" max="12292" width="13.42578125" customWidth="1"/>
    <col min="12293" max="12293" width="12.85546875" customWidth="1"/>
    <col min="12544" max="12544" width="5.140625" customWidth="1"/>
    <col min="12545" max="12545" width="47.7109375" customWidth="1"/>
    <col min="12546" max="12546" width="12" customWidth="1"/>
    <col min="12547" max="12547" width="13.28515625" customWidth="1"/>
    <col min="12548" max="12548" width="13.42578125" customWidth="1"/>
    <col min="12549" max="12549" width="12.85546875" customWidth="1"/>
    <col min="12800" max="12800" width="5.140625" customWidth="1"/>
    <col min="12801" max="12801" width="47.7109375" customWidth="1"/>
    <col min="12802" max="12802" width="12" customWidth="1"/>
    <col min="12803" max="12803" width="13.28515625" customWidth="1"/>
    <col min="12804" max="12804" width="13.42578125" customWidth="1"/>
    <col min="12805" max="12805" width="12.85546875" customWidth="1"/>
    <col min="13056" max="13056" width="5.140625" customWidth="1"/>
    <col min="13057" max="13057" width="47.7109375" customWidth="1"/>
    <col min="13058" max="13058" width="12" customWidth="1"/>
    <col min="13059" max="13059" width="13.28515625" customWidth="1"/>
    <col min="13060" max="13060" width="13.42578125" customWidth="1"/>
    <col min="13061" max="13061" width="12.85546875" customWidth="1"/>
    <col min="13312" max="13312" width="5.140625" customWidth="1"/>
    <col min="13313" max="13313" width="47.7109375" customWidth="1"/>
    <col min="13314" max="13314" width="12" customWidth="1"/>
    <col min="13315" max="13315" width="13.28515625" customWidth="1"/>
    <col min="13316" max="13316" width="13.42578125" customWidth="1"/>
    <col min="13317" max="13317" width="12.85546875" customWidth="1"/>
    <col min="13568" max="13568" width="5.140625" customWidth="1"/>
    <col min="13569" max="13569" width="47.7109375" customWidth="1"/>
    <col min="13570" max="13570" width="12" customWidth="1"/>
    <col min="13571" max="13571" width="13.28515625" customWidth="1"/>
    <col min="13572" max="13572" width="13.42578125" customWidth="1"/>
    <col min="13573" max="13573" width="12.85546875" customWidth="1"/>
    <col min="13824" max="13824" width="5.140625" customWidth="1"/>
    <col min="13825" max="13825" width="47.7109375" customWidth="1"/>
    <col min="13826" max="13826" width="12" customWidth="1"/>
    <col min="13827" max="13827" width="13.28515625" customWidth="1"/>
    <col min="13828" max="13828" width="13.42578125" customWidth="1"/>
    <col min="13829" max="13829" width="12.85546875" customWidth="1"/>
    <col min="14080" max="14080" width="5.140625" customWidth="1"/>
    <col min="14081" max="14081" width="47.7109375" customWidth="1"/>
    <col min="14082" max="14082" width="12" customWidth="1"/>
    <col min="14083" max="14083" width="13.28515625" customWidth="1"/>
    <col min="14084" max="14084" width="13.42578125" customWidth="1"/>
    <col min="14085" max="14085" width="12.85546875" customWidth="1"/>
    <col min="14336" max="14336" width="5.140625" customWidth="1"/>
    <col min="14337" max="14337" width="47.7109375" customWidth="1"/>
    <col min="14338" max="14338" width="12" customWidth="1"/>
    <col min="14339" max="14339" width="13.28515625" customWidth="1"/>
    <col min="14340" max="14340" width="13.42578125" customWidth="1"/>
    <col min="14341" max="14341" width="12.85546875" customWidth="1"/>
    <col min="14592" max="14592" width="5.140625" customWidth="1"/>
    <col min="14593" max="14593" width="47.7109375" customWidth="1"/>
    <col min="14594" max="14594" width="12" customWidth="1"/>
    <col min="14595" max="14595" width="13.28515625" customWidth="1"/>
    <col min="14596" max="14596" width="13.42578125" customWidth="1"/>
    <col min="14597" max="14597" width="12.85546875" customWidth="1"/>
    <col min="14848" max="14848" width="5.140625" customWidth="1"/>
    <col min="14849" max="14849" width="47.7109375" customWidth="1"/>
    <col min="14850" max="14850" width="12" customWidth="1"/>
    <col min="14851" max="14851" width="13.28515625" customWidth="1"/>
    <col min="14852" max="14852" width="13.42578125" customWidth="1"/>
    <col min="14853" max="14853" width="12.85546875" customWidth="1"/>
    <col min="15104" max="15104" width="5.140625" customWidth="1"/>
    <col min="15105" max="15105" width="47.7109375" customWidth="1"/>
    <col min="15106" max="15106" width="12" customWidth="1"/>
    <col min="15107" max="15107" width="13.28515625" customWidth="1"/>
    <col min="15108" max="15108" width="13.42578125" customWidth="1"/>
    <col min="15109" max="15109" width="12.85546875" customWidth="1"/>
    <col min="15360" max="15360" width="5.140625" customWidth="1"/>
    <col min="15361" max="15361" width="47.7109375" customWidth="1"/>
    <col min="15362" max="15362" width="12" customWidth="1"/>
    <col min="15363" max="15363" width="13.28515625" customWidth="1"/>
    <col min="15364" max="15364" width="13.42578125" customWidth="1"/>
    <col min="15365" max="15365" width="12.85546875" customWidth="1"/>
    <col min="15616" max="15616" width="5.140625" customWidth="1"/>
    <col min="15617" max="15617" width="47.7109375" customWidth="1"/>
    <col min="15618" max="15618" width="12" customWidth="1"/>
    <col min="15619" max="15619" width="13.28515625" customWidth="1"/>
    <col min="15620" max="15620" width="13.42578125" customWidth="1"/>
    <col min="15621" max="15621" width="12.85546875" customWidth="1"/>
    <col min="15872" max="15872" width="5.140625" customWidth="1"/>
    <col min="15873" max="15873" width="47.7109375" customWidth="1"/>
    <col min="15874" max="15874" width="12" customWidth="1"/>
    <col min="15875" max="15875" width="13.28515625" customWidth="1"/>
    <col min="15876" max="15876" width="13.42578125" customWidth="1"/>
    <col min="15877" max="15877" width="12.85546875" customWidth="1"/>
    <col min="16128" max="16128" width="5.140625" customWidth="1"/>
    <col min="16129" max="16129" width="47.7109375" customWidth="1"/>
    <col min="16130" max="16130" width="12" customWidth="1"/>
    <col min="16131" max="16131" width="13.28515625" customWidth="1"/>
    <col min="16132" max="16132" width="13.42578125" customWidth="1"/>
    <col min="16133" max="16133" width="12.85546875" customWidth="1"/>
  </cols>
  <sheetData>
    <row r="1" spans="1:8" ht="18.75">
      <c r="A1" s="88" t="s">
        <v>480</v>
      </c>
      <c r="H1" s="82" t="s">
        <v>366</v>
      </c>
    </row>
    <row r="2" spans="1:8">
      <c r="A2" s="88"/>
      <c r="C2" s="89" t="s">
        <v>51</v>
      </c>
      <c r="D2" s="89"/>
    </row>
    <row r="3" spans="1:8" ht="15">
      <c r="A3" s="88"/>
      <c r="C3" s="89"/>
      <c r="D3" s="89"/>
      <c r="H3" s="183" t="s">
        <v>336</v>
      </c>
    </row>
    <row r="4" spans="1:8" ht="25.5">
      <c r="A4" s="39"/>
      <c r="B4" s="90"/>
      <c r="C4" s="91" t="s">
        <v>16</v>
      </c>
      <c r="D4" s="92" t="s">
        <v>396</v>
      </c>
      <c r="E4" s="92" t="s">
        <v>397</v>
      </c>
      <c r="F4" s="93" t="s">
        <v>398</v>
      </c>
      <c r="H4" s="171" t="s">
        <v>482</v>
      </c>
    </row>
    <row r="5" spans="1:8">
      <c r="A5" s="95">
        <v>123</v>
      </c>
      <c r="B5" s="96" t="s">
        <v>58</v>
      </c>
      <c r="C5" s="97">
        <v>300</v>
      </c>
      <c r="D5" s="97">
        <v>300</v>
      </c>
      <c r="E5" s="37"/>
      <c r="F5" s="37">
        <f>D5+E5</f>
        <v>300</v>
      </c>
      <c r="H5" s="172"/>
    </row>
    <row r="6" spans="1:8">
      <c r="A6" s="95">
        <v>124</v>
      </c>
      <c r="B6" s="96" t="s">
        <v>59</v>
      </c>
      <c r="C6" s="97">
        <v>13600</v>
      </c>
      <c r="D6" s="97">
        <v>1460</v>
      </c>
      <c r="E6" s="10"/>
      <c r="F6" s="37">
        <f t="shared" ref="F6:F24" si="0">D6+E6</f>
        <v>1460</v>
      </c>
      <c r="H6" s="172">
        <v>12500</v>
      </c>
    </row>
    <row r="7" spans="1:8">
      <c r="A7" s="95">
        <v>169</v>
      </c>
      <c r="B7" s="96" t="s">
        <v>399</v>
      </c>
      <c r="C7" s="98">
        <v>400</v>
      </c>
      <c r="D7" s="98">
        <v>400</v>
      </c>
      <c r="E7" s="10"/>
      <c r="F7" s="37">
        <f t="shared" si="0"/>
        <v>400</v>
      </c>
      <c r="H7" s="172"/>
    </row>
    <row r="8" spans="1:8">
      <c r="A8" s="95">
        <v>164</v>
      </c>
      <c r="B8" s="96" t="s">
        <v>400</v>
      </c>
      <c r="C8" s="97">
        <v>100</v>
      </c>
      <c r="D8" s="97">
        <v>650</v>
      </c>
      <c r="E8" s="10"/>
      <c r="F8" s="37">
        <f t="shared" si="0"/>
        <v>650</v>
      </c>
      <c r="H8" s="172">
        <v>650</v>
      </c>
    </row>
    <row r="9" spans="1:8">
      <c r="A9" s="95">
        <v>110</v>
      </c>
      <c r="B9" s="96" t="s">
        <v>57</v>
      </c>
      <c r="C9" s="97">
        <v>6000</v>
      </c>
      <c r="D9" s="97">
        <v>2870</v>
      </c>
      <c r="E9" s="10"/>
      <c r="F9" s="37">
        <f t="shared" si="0"/>
        <v>2870</v>
      </c>
      <c r="H9" s="172">
        <v>16500</v>
      </c>
    </row>
    <row r="10" spans="1:8">
      <c r="A10" s="95">
        <v>129</v>
      </c>
      <c r="B10" s="96" t="s">
        <v>60</v>
      </c>
      <c r="C10" s="97"/>
      <c r="D10" s="97"/>
      <c r="E10" s="10"/>
      <c r="F10" s="37">
        <f t="shared" si="0"/>
        <v>0</v>
      </c>
      <c r="H10" s="172">
        <v>100</v>
      </c>
    </row>
    <row r="11" spans="1:8">
      <c r="A11" s="95">
        <v>106</v>
      </c>
      <c r="B11" s="96" t="s">
        <v>55</v>
      </c>
      <c r="C11" s="97">
        <v>3500</v>
      </c>
      <c r="D11" s="97">
        <v>3500</v>
      </c>
      <c r="E11" s="10"/>
      <c r="F11" s="37">
        <f t="shared" si="0"/>
        <v>3500</v>
      </c>
      <c r="H11" s="172">
        <v>500</v>
      </c>
    </row>
    <row r="12" spans="1:8">
      <c r="A12" s="99">
        <v>2</v>
      </c>
      <c r="B12" s="96" t="s">
        <v>52</v>
      </c>
      <c r="C12" s="97">
        <v>1500</v>
      </c>
      <c r="D12" s="97">
        <v>1500</v>
      </c>
      <c r="E12" s="10"/>
      <c r="F12" s="37">
        <f t="shared" si="0"/>
        <v>1500</v>
      </c>
      <c r="H12" s="172">
        <v>1500</v>
      </c>
    </row>
    <row r="13" spans="1:8">
      <c r="A13" s="99">
        <v>140</v>
      </c>
      <c r="B13" s="102" t="s">
        <v>126</v>
      </c>
      <c r="C13" s="97">
        <v>1500</v>
      </c>
      <c r="D13" s="97">
        <v>1500</v>
      </c>
      <c r="E13" s="10"/>
      <c r="F13" s="37">
        <f t="shared" si="0"/>
        <v>1500</v>
      </c>
      <c r="H13" s="172">
        <v>1000</v>
      </c>
    </row>
    <row r="14" spans="1:8">
      <c r="A14" s="95">
        <v>1</v>
      </c>
      <c r="B14" s="96" t="s">
        <v>401</v>
      </c>
      <c r="C14" s="97">
        <v>200</v>
      </c>
      <c r="D14" s="97">
        <v>400</v>
      </c>
      <c r="E14" s="10"/>
      <c r="F14" s="37">
        <f t="shared" si="0"/>
        <v>400</v>
      </c>
      <c r="H14" s="172">
        <v>200</v>
      </c>
    </row>
    <row r="15" spans="1:8">
      <c r="A15" s="99">
        <v>149</v>
      </c>
      <c r="B15" s="96" t="s">
        <v>414</v>
      </c>
      <c r="C15" s="100"/>
      <c r="D15" s="100">
        <v>450</v>
      </c>
      <c r="E15" s="10"/>
      <c r="F15" s="37">
        <f t="shared" si="0"/>
        <v>450</v>
      </c>
      <c r="H15" s="172">
        <v>100</v>
      </c>
    </row>
    <row r="16" spans="1:8">
      <c r="A16" s="95">
        <v>137</v>
      </c>
      <c r="B16" s="96" t="s">
        <v>61</v>
      </c>
      <c r="C16" s="97"/>
      <c r="D16" s="97"/>
      <c r="E16" s="10"/>
      <c r="F16" s="37">
        <f t="shared" si="0"/>
        <v>0</v>
      </c>
      <c r="H16" s="172">
        <v>300</v>
      </c>
    </row>
    <row r="17" spans="1:8">
      <c r="A17" s="99">
        <v>20</v>
      </c>
      <c r="B17" s="96" t="s">
        <v>54</v>
      </c>
      <c r="C17" s="97">
        <v>200</v>
      </c>
      <c r="D17" s="97">
        <v>2200</v>
      </c>
      <c r="E17" s="101"/>
      <c r="F17" s="37">
        <f t="shared" si="0"/>
        <v>2200</v>
      </c>
      <c r="H17" s="172">
        <v>300</v>
      </c>
    </row>
    <row r="18" spans="1:8">
      <c r="A18" s="103"/>
      <c r="B18" s="105" t="s">
        <v>403</v>
      </c>
      <c r="C18" s="104"/>
      <c r="D18" s="104"/>
      <c r="E18" s="10"/>
      <c r="F18" s="37">
        <f t="shared" si="0"/>
        <v>0</v>
      </c>
      <c r="H18" s="172">
        <v>200</v>
      </c>
    </row>
    <row r="19" spans="1:8">
      <c r="A19" s="103"/>
      <c r="B19" s="105" t="s">
        <v>408</v>
      </c>
      <c r="C19" s="104"/>
      <c r="D19" s="104">
        <v>900</v>
      </c>
      <c r="E19" s="10"/>
      <c r="F19" s="37">
        <f t="shared" si="0"/>
        <v>900</v>
      </c>
      <c r="H19" s="172">
        <v>1200</v>
      </c>
    </row>
    <row r="20" spans="1:8" hidden="1">
      <c r="A20" s="103"/>
      <c r="B20" s="105" t="s">
        <v>409</v>
      </c>
      <c r="C20" s="104"/>
      <c r="D20" s="104"/>
      <c r="E20" s="10"/>
      <c r="F20" s="37">
        <f t="shared" si="0"/>
        <v>0</v>
      </c>
      <c r="H20" s="172"/>
    </row>
    <row r="21" spans="1:8">
      <c r="A21" s="103"/>
      <c r="B21" s="109" t="s">
        <v>416</v>
      </c>
      <c r="C21" s="104"/>
      <c r="D21" s="104"/>
      <c r="E21" s="10"/>
      <c r="F21" s="37">
        <f t="shared" si="0"/>
        <v>0</v>
      </c>
      <c r="H21" s="172">
        <v>250</v>
      </c>
    </row>
    <row r="22" spans="1:8">
      <c r="A22" s="103"/>
      <c r="B22" s="105" t="s">
        <v>410</v>
      </c>
      <c r="C22" s="104"/>
      <c r="D22" s="104"/>
      <c r="E22" s="10"/>
      <c r="F22" s="37">
        <f t="shared" si="0"/>
        <v>0</v>
      </c>
      <c r="H22" s="172">
        <v>100</v>
      </c>
    </row>
    <row r="23" spans="1:8">
      <c r="A23" s="103"/>
      <c r="B23" s="109" t="s">
        <v>417</v>
      </c>
      <c r="C23" s="104"/>
      <c r="D23" s="104"/>
      <c r="E23" s="10"/>
      <c r="F23" s="37">
        <f t="shared" si="0"/>
        <v>0</v>
      </c>
      <c r="H23" s="172">
        <v>100</v>
      </c>
    </row>
    <row r="24" spans="1:8">
      <c r="A24" s="103"/>
      <c r="B24" s="105" t="s">
        <v>413</v>
      </c>
      <c r="C24" s="104"/>
      <c r="D24" s="104">
        <v>50</v>
      </c>
      <c r="E24" s="10"/>
      <c r="F24" s="101">
        <f t="shared" si="0"/>
        <v>50</v>
      </c>
      <c r="H24" s="172">
        <v>50</v>
      </c>
    </row>
    <row r="25" spans="1:8">
      <c r="A25" s="103"/>
      <c r="B25" s="109" t="s">
        <v>418</v>
      </c>
      <c r="C25" s="104"/>
      <c r="D25" s="104">
        <v>450</v>
      </c>
      <c r="E25" s="10"/>
      <c r="F25" s="101"/>
      <c r="H25" s="172">
        <v>300</v>
      </c>
    </row>
    <row r="26" spans="1:8">
      <c r="A26" s="103"/>
      <c r="B26" s="112" t="s">
        <v>419</v>
      </c>
      <c r="C26" s="104"/>
      <c r="D26" s="104"/>
      <c r="E26" s="10"/>
      <c r="F26" s="101"/>
      <c r="H26" s="172">
        <v>110</v>
      </c>
    </row>
    <row r="27" spans="1:8">
      <c r="A27" s="103"/>
      <c r="B27" s="109" t="s">
        <v>438</v>
      </c>
      <c r="C27" s="104"/>
      <c r="D27" s="104"/>
      <c r="E27" s="10"/>
      <c r="F27" s="101"/>
      <c r="H27" s="172">
        <v>200</v>
      </c>
    </row>
    <row r="28" spans="1:8">
      <c r="A28" s="99"/>
      <c r="B28" s="96" t="s">
        <v>415</v>
      </c>
      <c r="C28" s="100"/>
      <c r="D28" s="100"/>
      <c r="E28" s="10"/>
      <c r="F28" s="37"/>
      <c r="H28" s="172"/>
    </row>
    <row r="29" spans="1:8">
      <c r="A29" s="95">
        <v>109</v>
      </c>
      <c r="B29" s="96" t="s">
        <v>56</v>
      </c>
      <c r="C29" s="97"/>
      <c r="D29" s="97"/>
      <c r="E29" s="10"/>
      <c r="F29" s="37">
        <f t="shared" ref="F29:F44" si="1">D29+E29</f>
        <v>0</v>
      </c>
      <c r="H29" s="172"/>
    </row>
    <row r="30" spans="1:8">
      <c r="A30" s="99">
        <v>156</v>
      </c>
      <c r="B30" s="96" t="s">
        <v>62</v>
      </c>
      <c r="C30" s="100"/>
      <c r="D30" s="100"/>
      <c r="E30" s="10"/>
      <c r="F30" s="37">
        <f t="shared" si="1"/>
        <v>0</v>
      </c>
      <c r="H30" s="172"/>
    </row>
    <row r="31" spans="1:8">
      <c r="A31" s="103"/>
      <c r="B31" s="105" t="s">
        <v>402</v>
      </c>
      <c r="C31" s="104"/>
      <c r="D31" s="104"/>
      <c r="E31" s="10"/>
      <c r="F31" s="37">
        <f t="shared" si="1"/>
        <v>0</v>
      </c>
      <c r="H31" s="172"/>
    </row>
    <row r="32" spans="1:8">
      <c r="A32" s="103"/>
      <c r="B32" s="106" t="s">
        <v>404</v>
      </c>
      <c r="C32" s="104"/>
      <c r="D32" s="104"/>
      <c r="E32" s="10"/>
      <c r="F32" s="37">
        <f t="shared" si="1"/>
        <v>0</v>
      </c>
      <c r="H32" s="172"/>
    </row>
    <row r="33" spans="1:8">
      <c r="A33" s="103"/>
      <c r="B33" s="105" t="s">
        <v>405</v>
      </c>
      <c r="C33" s="104"/>
      <c r="D33" s="104"/>
      <c r="E33" s="10"/>
      <c r="F33" s="37">
        <f t="shared" si="1"/>
        <v>0</v>
      </c>
      <c r="H33" s="172"/>
    </row>
    <row r="34" spans="1:8" ht="25.5">
      <c r="A34" s="103"/>
      <c r="B34" s="107" t="s">
        <v>406</v>
      </c>
      <c r="C34" s="108"/>
      <c r="D34" s="108"/>
      <c r="E34" s="101"/>
      <c r="F34" s="40">
        <f t="shared" si="1"/>
        <v>0</v>
      </c>
      <c r="H34" s="172"/>
    </row>
    <row r="35" spans="1:8">
      <c r="A35" s="103"/>
      <c r="B35" s="105" t="s">
        <v>407</v>
      </c>
      <c r="C35" s="104"/>
      <c r="D35" s="104"/>
      <c r="E35" s="10"/>
      <c r="F35" s="37">
        <f t="shared" si="1"/>
        <v>0</v>
      </c>
      <c r="H35" s="172"/>
    </row>
    <row r="36" spans="1:8">
      <c r="A36" s="103"/>
      <c r="B36" s="109" t="s">
        <v>439</v>
      </c>
      <c r="C36" s="104"/>
      <c r="D36" s="104"/>
      <c r="E36" s="10"/>
      <c r="F36" s="37">
        <f t="shared" si="1"/>
        <v>0</v>
      </c>
      <c r="H36" s="172"/>
    </row>
    <row r="37" spans="1:8">
      <c r="A37" s="103"/>
      <c r="B37" s="105" t="s">
        <v>411</v>
      </c>
      <c r="C37" s="104"/>
      <c r="D37" s="104"/>
      <c r="E37" s="10"/>
      <c r="F37" s="37">
        <f t="shared" si="1"/>
        <v>0</v>
      </c>
      <c r="H37" s="172"/>
    </row>
    <row r="38" spans="1:8">
      <c r="A38" s="103"/>
      <c r="B38" s="109" t="s">
        <v>440</v>
      </c>
      <c r="C38" s="104"/>
      <c r="D38" s="104"/>
      <c r="E38" s="10"/>
      <c r="F38" s="37">
        <f t="shared" si="1"/>
        <v>0</v>
      </c>
      <c r="H38" s="172"/>
    </row>
    <row r="39" spans="1:8">
      <c r="A39" s="103"/>
      <c r="B39" s="109" t="s">
        <v>441</v>
      </c>
      <c r="C39" s="104"/>
      <c r="D39" s="104"/>
      <c r="E39" s="10"/>
      <c r="F39" s="37">
        <f t="shared" si="1"/>
        <v>0</v>
      </c>
      <c r="H39" s="172"/>
    </row>
    <row r="40" spans="1:8">
      <c r="A40" s="103"/>
      <c r="B40" s="110" t="s">
        <v>442</v>
      </c>
      <c r="C40" s="104"/>
      <c r="D40" s="104"/>
      <c r="E40" s="10"/>
      <c r="F40" s="37">
        <f t="shared" si="1"/>
        <v>0</v>
      </c>
      <c r="H40" s="172"/>
    </row>
    <row r="41" spans="1:8" ht="38.25">
      <c r="A41" s="103"/>
      <c r="B41" s="110" t="s">
        <v>443</v>
      </c>
      <c r="C41" s="108"/>
      <c r="D41" s="108">
        <v>70</v>
      </c>
      <c r="E41" s="101"/>
      <c r="F41" s="101">
        <f t="shared" si="1"/>
        <v>70</v>
      </c>
      <c r="H41" s="172"/>
    </row>
    <row r="42" spans="1:8" ht="25.5">
      <c r="A42" s="103"/>
      <c r="B42" s="110" t="s">
        <v>444</v>
      </c>
      <c r="C42" s="101"/>
      <c r="D42" s="101">
        <v>70</v>
      </c>
      <c r="E42" s="101"/>
      <c r="F42" s="101">
        <f t="shared" si="1"/>
        <v>70</v>
      </c>
      <c r="H42" s="172"/>
    </row>
    <row r="43" spans="1:8">
      <c r="A43" s="103"/>
      <c r="B43" s="109" t="s">
        <v>445</v>
      </c>
      <c r="C43" s="101"/>
      <c r="D43" s="101">
        <v>40</v>
      </c>
      <c r="E43" s="101"/>
      <c r="F43" s="101">
        <f t="shared" si="1"/>
        <v>40</v>
      </c>
      <c r="H43" s="172"/>
    </row>
    <row r="44" spans="1:8">
      <c r="A44" s="103"/>
      <c r="B44" s="105" t="s">
        <v>412</v>
      </c>
      <c r="C44" s="104"/>
      <c r="D44" s="104"/>
      <c r="E44" s="10"/>
      <c r="F44" s="37">
        <f t="shared" si="1"/>
        <v>0</v>
      </c>
      <c r="H44" s="172"/>
    </row>
    <row r="45" spans="1:8">
      <c r="A45" s="103"/>
      <c r="B45" s="180" t="s">
        <v>481</v>
      </c>
      <c r="C45" s="104"/>
      <c r="D45" s="104"/>
      <c r="E45" s="10"/>
      <c r="F45" s="101"/>
      <c r="H45" s="172">
        <v>200</v>
      </c>
    </row>
    <row r="46" spans="1:8">
      <c r="A46" s="103"/>
      <c r="B46" s="181"/>
      <c r="C46" s="104"/>
      <c r="D46" s="104"/>
      <c r="E46" s="10"/>
      <c r="F46" s="101"/>
      <c r="H46" s="172"/>
    </row>
    <row r="47" spans="1:8">
      <c r="A47" s="38"/>
      <c r="B47" s="109" t="s">
        <v>53</v>
      </c>
      <c r="C47" s="10"/>
      <c r="D47" s="10"/>
      <c r="E47" s="10"/>
      <c r="F47" s="37"/>
      <c r="H47" s="172"/>
    </row>
    <row r="48" spans="1:8">
      <c r="A48" s="38"/>
      <c r="B48" s="94" t="s">
        <v>9</v>
      </c>
      <c r="C48" s="41">
        <f>SUM(C1:C47)</f>
        <v>27300</v>
      </c>
      <c r="D48" s="41">
        <f>SUM(D1:D47)</f>
        <v>16810</v>
      </c>
      <c r="E48" s="41">
        <f>SUM(E1:E47)</f>
        <v>0</v>
      </c>
      <c r="F48" s="41">
        <f>SUM(F5:F47)</f>
        <v>16360</v>
      </c>
      <c r="H48" s="173">
        <f>SUM(H5:H47)</f>
        <v>36360</v>
      </c>
    </row>
    <row r="49" spans="1:4">
      <c r="A49" s="36"/>
      <c r="B49" s="36"/>
      <c r="C49" s="42"/>
      <c r="D49" s="42"/>
    </row>
  </sheetData>
  <sheetProtection password="CC33" sheet="1" objects="1" scenarios="1"/>
  <hyperlinks>
    <hyperlink ref="H1" location="'Výdaje 2015 - shrnutí'!A1" display="zpět"/>
  </hyperlink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2"/>
  <sheetViews>
    <sheetView zoomScale="90" zoomScaleNormal="90" workbookViewId="0">
      <selection activeCell="Q5" sqref="Q5"/>
    </sheetView>
  </sheetViews>
  <sheetFormatPr defaultRowHeight="12.75"/>
  <cols>
    <col min="1" max="1" width="28.28515625" style="2" customWidth="1"/>
    <col min="2" max="2" width="51.7109375" style="2" customWidth="1"/>
    <col min="3" max="3" width="2.28515625" style="215" customWidth="1"/>
    <col min="4" max="4" width="17" style="2" customWidth="1"/>
    <col min="5" max="5" width="17" style="209" customWidth="1"/>
    <col min="6" max="6" width="17" style="2" customWidth="1"/>
    <col min="7" max="15" width="17" style="2" hidden="1" customWidth="1"/>
    <col min="16" max="16" width="17" style="2" customWidth="1"/>
    <col min="17" max="18" width="13.28515625" style="2" customWidth="1"/>
    <col min="19" max="16384" width="9.140625" style="2"/>
  </cols>
  <sheetData>
    <row r="1" spans="1:18">
      <c r="B1" s="1"/>
      <c r="C1" s="208"/>
    </row>
    <row r="2" spans="1:18" ht="17.25" customHeight="1">
      <c r="B2" s="210"/>
      <c r="C2" s="211"/>
    </row>
    <row r="3" spans="1:18" ht="17.25" customHeight="1">
      <c r="A3" s="264" t="str">
        <f>'Příjmy 2015 shrnutí'!A2</f>
        <v>Plnění rozpočtu leden - březen 2015</v>
      </c>
      <c r="B3" s="264"/>
      <c r="C3" s="211"/>
    </row>
    <row r="4" spans="1:18" ht="17.25" customHeight="1">
      <c r="B4" s="210"/>
      <c r="C4" s="211"/>
    </row>
    <row r="5" spans="1:18" ht="17.25" customHeight="1">
      <c r="B5" s="259" t="s">
        <v>423</v>
      </c>
      <c r="C5" s="211"/>
    </row>
    <row r="6" spans="1:18" ht="17.25" customHeight="1">
      <c r="B6" s="210"/>
      <c r="C6" s="211"/>
    </row>
    <row r="7" spans="1:18" ht="58.5" customHeight="1">
      <c r="A7" s="12" t="s">
        <v>156</v>
      </c>
      <c r="B7" s="77" t="s">
        <v>154</v>
      </c>
      <c r="C7" s="66"/>
      <c r="D7" s="85" t="s">
        <v>490</v>
      </c>
      <c r="E7" s="203" t="s">
        <v>493</v>
      </c>
      <c r="F7" s="204" t="s">
        <v>492</v>
      </c>
      <c r="G7" s="204" t="s">
        <v>497</v>
      </c>
      <c r="H7" s="204" t="s">
        <v>505</v>
      </c>
      <c r="I7" s="204" t="s">
        <v>498</v>
      </c>
      <c r="J7" s="204" t="s">
        <v>499</v>
      </c>
      <c r="K7" s="204" t="s">
        <v>500</v>
      </c>
      <c r="L7" s="204" t="s">
        <v>501</v>
      </c>
      <c r="M7" s="204" t="s">
        <v>502</v>
      </c>
      <c r="N7" s="204" t="s">
        <v>503</v>
      </c>
      <c r="O7" s="204" t="s">
        <v>504</v>
      </c>
      <c r="P7" s="204" t="s">
        <v>496</v>
      </c>
      <c r="Q7" s="204" t="s">
        <v>543</v>
      </c>
      <c r="R7" s="205" t="s">
        <v>495</v>
      </c>
    </row>
    <row r="8" spans="1:18" ht="13.5" customHeight="1">
      <c r="A8" s="12" t="s">
        <v>157</v>
      </c>
      <c r="B8" s="4" t="s">
        <v>163</v>
      </c>
      <c r="C8" s="212"/>
      <c r="D8" s="111">
        <v>0</v>
      </c>
      <c r="E8" s="101">
        <v>7200</v>
      </c>
      <c r="F8" s="101">
        <v>1800</v>
      </c>
      <c r="G8" s="101"/>
      <c r="H8" s="101"/>
      <c r="I8" s="101"/>
      <c r="J8" s="101"/>
      <c r="K8" s="101"/>
      <c r="L8" s="101"/>
      <c r="M8" s="101"/>
      <c r="N8" s="101"/>
      <c r="O8" s="101"/>
      <c r="P8" s="101">
        <f>SUM(F8:O8)</f>
        <v>1800</v>
      </c>
      <c r="Q8" s="101">
        <v>0</v>
      </c>
      <c r="R8" s="101">
        <f t="shared" ref="R8:R10" si="0">(P8/E8)*100</f>
        <v>25</v>
      </c>
    </row>
    <row r="9" spans="1:18" ht="13.5" customHeight="1">
      <c r="A9" s="12"/>
      <c r="B9" s="3" t="s">
        <v>158</v>
      </c>
      <c r="C9" s="212"/>
      <c r="D9" s="111">
        <v>1000</v>
      </c>
      <c r="E9" s="101">
        <v>1000</v>
      </c>
      <c r="F9" s="101">
        <v>0</v>
      </c>
      <c r="G9" s="101"/>
      <c r="H9" s="101"/>
      <c r="I9" s="101"/>
      <c r="J9" s="101"/>
      <c r="K9" s="101"/>
      <c r="L9" s="101"/>
      <c r="M9" s="101"/>
      <c r="N9" s="101"/>
      <c r="O9" s="101"/>
      <c r="P9" s="101">
        <f t="shared" ref="P9:P11" si="1">SUM(F9:O9)</f>
        <v>0</v>
      </c>
      <c r="Q9" s="101">
        <f t="shared" ref="Q9:Q10" si="2">(P9/D9)*100</f>
        <v>0</v>
      </c>
      <c r="R9" s="101">
        <f t="shared" si="0"/>
        <v>0</v>
      </c>
    </row>
    <row r="10" spans="1:18" ht="13.5" customHeight="1">
      <c r="B10" s="3" t="s">
        <v>159</v>
      </c>
      <c r="C10" s="212"/>
      <c r="D10" s="111">
        <v>2000</v>
      </c>
      <c r="E10" s="101">
        <v>2000</v>
      </c>
      <c r="F10" s="101">
        <v>0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>
        <f t="shared" si="1"/>
        <v>0</v>
      </c>
      <c r="Q10" s="101">
        <f t="shared" si="2"/>
        <v>0</v>
      </c>
      <c r="R10" s="101">
        <f t="shared" si="0"/>
        <v>0</v>
      </c>
    </row>
    <row r="11" spans="1:18" ht="13.5" customHeight="1">
      <c r="B11" s="3" t="s">
        <v>160</v>
      </c>
      <c r="C11" s="212"/>
      <c r="D11" s="111">
        <v>47000</v>
      </c>
      <c r="E11" s="101">
        <v>39800</v>
      </c>
      <c r="F11" s="101">
        <v>21448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>
        <f t="shared" si="1"/>
        <v>21448</v>
      </c>
      <c r="Q11" s="101">
        <f t="shared" ref="Q11" si="3">(P11/D11)*100</f>
        <v>45.634042553191492</v>
      </c>
      <c r="R11" s="101">
        <f t="shared" ref="R11" si="4">(P11/E11)*100</f>
        <v>53.889447236180906</v>
      </c>
    </row>
    <row r="12" spans="1:18" ht="13.5" customHeight="1">
      <c r="B12" s="5" t="s">
        <v>3</v>
      </c>
      <c r="C12" s="2"/>
      <c r="D12" s="213">
        <f>SUM(D8:D11)</f>
        <v>50000</v>
      </c>
      <c r="E12" s="213">
        <f>SUM(E8:E11)</f>
        <v>50000</v>
      </c>
      <c r="F12" s="213">
        <f>SUM(F8:F11)</f>
        <v>23248</v>
      </c>
      <c r="G12" s="213">
        <f t="shared" ref="G12:P12" si="5">SUM(G8:G11)</f>
        <v>0</v>
      </c>
      <c r="H12" s="213">
        <f t="shared" si="5"/>
        <v>0</v>
      </c>
      <c r="I12" s="213">
        <f t="shared" si="5"/>
        <v>0</v>
      </c>
      <c r="J12" s="213">
        <f t="shared" si="5"/>
        <v>0</v>
      </c>
      <c r="K12" s="213">
        <f t="shared" si="5"/>
        <v>0</v>
      </c>
      <c r="L12" s="213">
        <f t="shared" si="5"/>
        <v>0</v>
      </c>
      <c r="M12" s="213">
        <f t="shared" si="5"/>
        <v>0</v>
      </c>
      <c r="N12" s="213">
        <f t="shared" si="5"/>
        <v>0</v>
      </c>
      <c r="O12" s="213">
        <f t="shared" si="5"/>
        <v>0</v>
      </c>
      <c r="P12" s="213">
        <f t="shared" si="5"/>
        <v>23248</v>
      </c>
      <c r="Q12" s="213">
        <f>(P12/D12)*100</f>
        <v>46.495999999999995</v>
      </c>
      <c r="R12" s="213">
        <f>(P12/E12)*100</f>
        <v>46.495999999999995</v>
      </c>
    </row>
    <row r="13" spans="1:18" ht="17.25" customHeight="1">
      <c r="B13" s="210"/>
      <c r="C13" s="211"/>
    </row>
    <row r="14" spans="1:18" s="209" customFormat="1">
      <c r="A14" s="2"/>
      <c r="B14" s="214"/>
      <c r="C14" s="215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8" ht="38.25">
      <c r="A15" s="12" t="s">
        <v>156</v>
      </c>
      <c r="B15" s="77" t="s">
        <v>368</v>
      </c>
      <c r="C15" s="66"/>
      <c r="D15" s="85" t="s">
        <v>490</v>
      </c>
      <c r="E15" s="203" t="s">
        <v>493</v>
      </c>
      <c r="F15" s="204" t="s">
        <v>492</v>
      </c>
      <c r="G15" s="204" t="s">
        <v>497</v>
      </c>
      <c r="H15" s="204" t="s">
        <v>505</v>
      </c>
      <c r="I15" s="204" t="s">
        <v>498</v>
      </c>
      <c r="J15" s="204" t="s">
        <v>499</v>
      </c>
      <c r="K15" s="204" t="s">
        <v>500</v>
      </c>
      <c r="L15" s="204" t="s">
        <v>501</v>
      </c>
      <c r="M15" s="204" t="s">
        <v>502</v>
      </c>
      <c r="N15" s="204" t="s">
        <v>503</v>
      </c>
      <c r="O15" s="204" t="s">
        <v>504</v>
      </c>
      <c r="P15" s="204" t="s">
        <v>496</v>
      </c>
      <c r="Q15" s="204" t="s">
        <v>543</v>
      </c>
      <c r="R15" s="205" t="s">
        <v>495</v>
      </c>
    </row>
    <row r="16" spans="1:18">
      <c r="A16" s="12" t="s">
        <v>161</v>
      </c>
      <c r="B16" s="3" t="s">
        <v>162</v>
      </c>
      <c r="C16" s="212"/>
      <c r="D16" s="111">
        <v>550000</v>
      </c>
      <c r="E16" s="101">
        <v>550000</v>
      </c>
      <c r="F16" s="101">
        <v>87226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>
        <f>SUM(F16:O16)</f>
        <v>87226</v>
      </c>
      <c r="Q16" s="101">
        <f t="shared" ref="Q16:Q33" si="6">(P16/D16)*100</f>
        <v>15.859272727272728</v>
      </c>
      <c r="R16" s="101">
        <f t="shared" ref="R16:R33" si="7">(P16/E16)*100</f>
        <v>15.859272727272728</v>
      </c>
    </row>
    <row r="17" spans="2:18">
      <c r="B17" s="3" t="s">
        <v>163</v>
      </c>
      <c r="C17" s="212"/>
      <c r="D17" s="111">
        <v>20000</v>
      </c>
      <c r="E17" s="101">
        <v>20000</v>
      </c>
      <c r="F17" s="101">
        <v>0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>
        <f t="shared" ref="P17:P34" si="8">SUM(F17:O17)</f>
        <v>0</v>
      </c>
      <c r="Q17" s="101">
        <f t="shared" si="6"/>
        <v>0</v>
      </c>
      <c r="R17" s="101">
        <f t="shared" si="7"/>
        <v>0</v>
      </c>
    </row>
    <row r="18" spans="2:18">
      <c r="B18" s="3" t="s">
        <v>164</v>
      </c>
      <c r="C18" s="212"/>
      <c r="D18" s="111">
        <v>160000</v>
      </c>
      <c r="E18" s="101">
        <v>160000</v>
      </c>
      <c r="F18" s="101">
        <v>31426</v>
      </c>
      <c r="G18" s="101"/>
      <c r="H18" s="101"/>
      <c r="I18" s="101"/>
      <c r="J18" s="101"/>
      <c r="K18" s="101"/>
      <c r="L18" s="101"/>
      <c r="M18" s="101"/>
      <c r="N18" s="101"/>
      <c r="O18" s="101"/>
      <c r="P18" s="101">
        <f t="shared" si="8"/>
        <v>31426</v>
      </c>
      <c r="Q18" s="101">
        <f t="shared" si="6"/>
        <v>19.641249999999999</v>
      </c>
      <c r="R18" s="101">
        <f t="shared" si="7"/>
        <v>19.641249999999999</v>
      </c>
    </row>
    <row r="19" spans="2:18">
      <c r="B19" s="3" t="s">
        <v>165</v>
      </c>
      <c r="C19" s="212"/>
      <c r="D19" s="111">
        <v>70000</v>
      </c>
      <c r="E19" s="101">
        <v>70000</v>
      </c>
      <c r="F19" s="101">
        <v>11590</v>
      </c>
      <c r="G19" s="101"/>
      <c r="H19" s="101"/>
      <c r="I19" s="101"/>
      <c r="J19" s="101"/>
      <c r="K19" s="101"/>
      <c r="L19" s="101"/>
      <c r="M19" s="101"/>
      <c r="N19" s="101"/>
      <c r="O19" s="101"/>
      <c r="P19" s="101">
        <f t="shared" si="8"/>
        <v>11590</v>
      </c>
      <c r="Q19" s="101">
        <f t="shared" si="6"/>
        <v>16.557142857142857</v>
      </c>
      <c r="R19" s="101">
        <f t="shared" si="7"/>
        <v>16.557142857142857</v>
      </c>
    </row>
    <row r="20" spans="2:18">
      <c r="B20" s="3" t="s">
        <v>166</v>
      </c>
      <c r="C20" s="212"/>
      <c r="D20" s="111">
        <v>2000</v>
      </c>
      <c r="E20" s="101">
        <v>2000</v>
      </c>
      <c r="F20" s="101">
        <v>521</v>
      </c>
      <c r="G20" s="101"/>
      <c r="H20" s="101"/>
      <c r="I20" s="101"/>
      <c r="J20" s="101"/>
      <c r="K20" s="101"/>
      <c r="L20" s="101"/>
      <c r="M20" s="101"/>
      <c r="N20" s="101"/>
      <c r="O20" s="101"/>
      <c r="P20" s="101">
        <f t="shared" si="8"/>
        <v>521</v>
      </c>
      <c r="Q20" s="101">
        <f t="shared" si="6"/>
        <v>26.05</v>
      </c>
      <c r="R20" s="101">
        <f t="shared" si="7"/>
        <v>26.05</v>
      </c>
    </row>
    <row r="21" spans="2:18">
      <c r="B21" s="4" t="s">
        <v>506</v>
      </c>
      <c r="C21" s="212"/>
      <c r="D21" s="111">
        <v>0</v>
      </c>
      <c r="E21" s="101">
        <v>2000</v>
      </c>
      <c r="F21" s="101">
        <v>1881</v>
      </c>
      <c r="G21" s="101"/>
      <c r="H21" s="101"/>
      <c r="I21" s="101"/>
      <c r="J21" s="101"/>
      <c r="K21" s="101"/>
      <c r="L21" s="101"/>
      <c r="M21" s="101"/>
      <c r="N21" s="101"/>
      <c r="O21" s="101"/>
      <c r="P21" s="101">
        <f t="shared" si="8"/>
        <v>1881</v>
      </c>
      <c r="Q21" s="101">
        <v>0</v>
      </c>
      <c r="R21" s="101">
        <f t="shared" si="7"/>
        <v>94.05</v>
      </c>
    </row>
    <row r="22" spans="2:18">
      <c r="B22" s="3" t="s">
        <v>167</v>
      </c>
      <c r="C22" s="212"/>
      <c r="D22" s="111">
        <v>5000</v>
      </c>
      <c r="E22" s="101">
        <v>5000</v>
      </c>
      <c r="F22" s="101">
        <v>0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>
        <f t="shared" si="8"/>
        <v>0</v>
      </c>
      <c r="Q22" s="101">
        <f t="shared" si="6"/>
        <v>0</v>
      </c>
      <c r="R22" s="101">
        <f t="shared" si="7"/>
        <v>0</v>
      </c>
    </row>
    <row r="23" spans="2:18">
      <c r="B23" s="3" t="s">
        <v>168</v>
      </c>
      <c r="C23" s="212"/>
      <c r="D23" s="111">
        <v>30000</v>
      </c>
      <c r="E23" s="101">
        <v>30000</v>
      </c>
      <c r="F23" s="101">
        <v>0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>
        <f t="shared" si="8"/>
        <v>0</v>
      </c>
      <c r="Q23" s="101">
        <f t="shared" si="6"/>
        <v>0</v>
      </c>
      <c r="R23" s="101">
        <f t="shared" si="7"/>
        <v>0</v>
      </c>
    </row>
    <row r="24" spans="2:18">
      <c r="B24" s="3" t="s">
        <v>169</v>
      </c>
      <c r="C24" s="212"/>
      <c r="D24" s="111">
        <v>200000</v>
      </c>
      <c r="E24" s="101">
        <v>200000</v>
      </c>
      <c r="F24" s="101">
        <v>27166</v>
      </c>
      <c r="G24" s="101"/>
      <c r="H24" s="101"/>
      <c r="I24" s="101"/>
      <c r="J24" s="101"/>
      <c r="K24" s="101"/>
      <c r="L24" s="101"/>
      <c r="M24" s="101"/>
      <c r="N24" s="101"/>
      <c r="O24" s="101"/>
      <c r="P24" s="101">
        <f t="shared" si="8"/>
        <v>27166</v>
      </c>
      <c r="Q24" s="101">
        <f t="shared" si="6"/>
        <v>13.583</v>
      </c>
      <c r="R24" s="101">
        <f t="shared" si="7"/>
        <v>13.583</v>
      </c>
    </row>
    <row r="25" spans="2:18">
      <c r="B25" s="3" t="s">
        <v>170</v>
      </c>
      <c r="C25" s="212"/>
      <c r="D25" s="111">
        <v>100000</v>
      </c>
      <c r="E25" s="101">
        <v>100000</v>
      </c>
      <c r="F25" s="101">
        <v>20199.330000000002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1">
        <f t="shared" si="8"/>
        <v>20199.330000000002</v>
      </c>
      <c r="Q25" s="101">
        <f t="shared" si="6"/>
        <v>20.19933</v>
      </c>
      <c r="R25" s="101">
        <f t="shared" si="7"/>
        <v>20.19933</v>
      </c>
    </row>
    <row r="26" spans="2:18">
      <c r="B26" s="3" t="s">
        <v>171</v>
      </c>
      <c r="C26" s="212"/>
      <c r="D26" s="111">
        <v>15000</v>
      </c>
      <c r="E26" s="101">
        <v>15000</v>
      </c>
      <c r="F26" s="101">
        <v>2500.59</v>
      </c>
      <c r="G26" s="101"/>
      <c r="H26" s="101"/>
      <c r="I26" s="101"/>
      <c r="J26" s="101"/>
      <c r="K26" s="101"/>
      <c r="L26" s="101"/>
      <c r="M26" s="101"/>
      <c r="N26" s="101"/>
      <c r="O26" s="101"/>
      <c r="P26" s="101">
        <f t="shared" si="8"/>
        <v>2500.59</v>
      </c>
      <c r="Q26" s="101">
        <f t="shared" si="6"/>
        <v>16.6706</v>
      </c>
      <c r="R26" s="101">
        <f t="shared" si="7"/>
        <v>16.6706</v>
      </c>
    </row>
    <row r="27" spans="2:18">
      <c r="B27" s="3" t="s">
        <v>172</v>
      </c>
      <c r="C27" s="212"/>
      <c r="D27" s="111">
        <v>15000</v>
      </c>
      <c r="E27" s="101">
        <v>15000</v>
      </c>
      <c r="F27" s="101">
        <v>7532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>
        <f t="shared" si="8"/>
        <v>7532</v>
      </c>
      <c r="Q27" s="101">
        <f t="shared" si="6"/>
        <v>50.213333333333331</v>
      </c>
      <c r="R27" s="101">
        <f t="shared" si="7"/>
        <v>50.213333333333331</v>
      </c>
    </row>
    <row r="28" spans="2:18">
      <c r="B28" s="3" t="s">
        <v>159</v>
      </c>
      <c r="C28" s="212"/>
      <c r="D28" s="111">
        <v>5000</v>
      </c>
      <c r="E28" s="101">
        <v>5000</v>
      </c>
      <c r="F28" s="101">
        <v>0</v>
      </c>
      <c r="G28" s="101"/>
      <c r="H28" s="101"/>
      <c r="I28" s="101"/>
      <c r="J28" s="101"/>
      <c r="K28" s="101"/>
      <c r="L28" s="101"/>
      <c r="M28" s="101"/>
      <c r="N28" s="101"/>
      <c r="O28" s="101"/>
      <c r="P28" s="101">
        <f t="shared" si="8"/>
        <v>0</v>
      </c>
      <c r="Q28" s="101">
        <f t="shared" si="6"/>
        <v>0</v>
      </c>
      <c r="R28" s="101">
        <f t="shared" si="7"/>
        <v>0</v>
      </c>
    </row>
    <row r="29" spans="2:18">
      <c r="B29" s="3" t="s">
        <v>160</v>
      </c>
      <c r="C29" s="2"/>
      <c r="D29" s="111">
        <v>1792000</v>
      </c>
      <c r="E29" s="101">
        <v>1790000</v>
      </c>
      <c r="F29" s="101">
        <v>235731.9</v>
      </c>
      <c r="G29" s="101"/>
      <c r="H29" s="101"/>
      <c r="I29" s="101"/>
      <c r="J29" s="101"/>
      <c r="K29" s="101"/>
      <c r="L29" s="101"/>
      <c r="M29" s="101"/>
      <c r="N29" s="101"/>
      <c r="O29" s="101"/>
      <c r="P29" s="101">
        <f t="shared" si="8"/>
        <v>235731.9</v>
      </c>
      <c r="Q29" s="101">
        <f t="shared" si="6"/>
        <v>13.154681919642858</v>
      </c>
      <c r="R29" s="101">
        <f t="shared" si="7"/>
        <v>13.169379888268157</v>
      </c>
    </row>
    <row r="30" spans="2:18" hidden="1">
      <c r="B30" s="3" t="s">
        <v>173</v>
      </c>
      <c r="C30" s="2"/>
      <c r="D30" s="11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>
        <f t="shared" si="8"/>
        <v>0</v>
      </c>
      <c r="Q30" s="101" t="e">
        <f t="shared" si="6"/>
        <v>#DIV/0!</v>
      </c>
      <c r="R30" s="101" t="e">
        <f t="shared" si="7"/>
        <v>#DIV/0!</v>
      </c>
    </row>
    <row r="31" spans="2:18">
      <c r="B31" s="4" t="s">
        <v>306</v>
      </c>
      <c r="C31" s="2"/>
      <c r="D31" s="111">
        <v>15000</v>
      </c>
      <c r="E31" s="101">
        <v>15000</v>
      </c>
      <c r="F31" s="101">
        <v>0</v>
      </c>
      <c r="G31" s="101"/>
      <c r="H31" s="101"/>
      <c r="I31" s="101"/>
      <c r="J31" s="101"/>
      <c r="K31" s="101"/>
      <c r="L31" s="101"/>
      <c r="M31" s="101"/>
      <c r="N31" s="101"/>
      <c r="O31" s="101"/>
      <c r="P31" s="101">
        <f t="shared" si="8"/>
        <v>0</v>
      </c>
      <c r="Q31" s="101">
        <f t="shared" si="6"/>
        <v>0</v>
      </c>
      <c r="R31" s="101">
        <f t="shared" si="7"/>
        <v>0</v>
      </c>
    </row>
    <row r="32" spans="2:18">
      <c r="B32" s="7" t="s">
        <v>174</v>
      </c>
      <c r="C32" s="2"/>
      <c r="D32" s="111">
        <v>1000</v>
      </c>
      <c r="E32" s="101">
        <v>1000</v>
      </c>
      <c r="F32" s="101">
        <v>0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>
        <f t="shared" si="8"/>
        <v>0</v>
      </c>
      <c r="Q32" s="101">
        <f t="shared" si="6"/>
        <v>0</v>
      </c>
      <c r="R32" s="101">
        <f t="shared" si="7"/>
        <v>0</v>
      </c>
    </row>
    <row r="33" spans="1:18">
      <c r="B33" s="3" t="s">
        <v>175</v>
      </c>
      <c r="C33" s="2"/>
      <c r="D33" s="111">
        <v>10000</v>
      </c>
      <c r="E33" s="101">
        <v>10000</v>
      </c>
      <c r="F33" s="101">
        <v>2723</v>
      </c>
      <c r="G33" s="101"/>
      <c r="H33" s="101"/>
      <c r="I33" s="101"/>
      <c r="J33" s="101"/>
      <c r="K33" s="101"/>
      <c r="L33" s="101"/>
      <c r="M33" s="101"/>
      <c r="N33" s="101"/>
      <c r="O33" s="101"/>
      <c r="P33" s="101">
        <f t="shared" si="8"/>
        <v>2723</v>
      </c>
      <c r="Q33" s="101">
        <f t="shared" si="6"/>
        <v>27.229999999999997</v>
      </c>
      <c r="R33" s="101">
        <f t="shared" si="7"/>
        <v>27.229999999999997</v>
      </c>
    </row>
    <row r="34" spans="1:18">
      <c r="B34" s="3" t="s">
        <v>176</v>
      </c>
      <c r="C34" s="2"/>
      <c r="D34" s="111">
        <v>10000</v>
      </c>
      <c r="E34" s="101">
        <v>10000</v>
      </c>
      <c r="F34" s="101">
        <v>1850</v>
      </c>
      <c r="G34" s="101"/>
      <c r="H34" s="101"/>
      <c r="I34" s="101"/>
      <c r="J34" s="101"/>
      <c r="K34" s="101"/>
      <c r="L34" s="101"/>
      <c r="M34" s="101"/>
      <c r="N34" s="101"/>
      <c r="O34" s="101"/>
      <c r="P34" s="101">
        <f t="shared" si="8"/>
        <v>1850</v>
      </c>
      <c r="Q34" s="101">
        <f t="shared" ref="Q34" si="9">(P34/D34)*100</f>
        <v>18.5</v>
      </c>
      <c r="R34" s="101">
        <f t="shared" ref="R34" si="10">(P34/E34)*100</f>
        <v>18.5</v>
      </c>
    </row>
    <row r="35" spans="1:18">
      <c r="B35" s="5" t="s">
        <v>3</v>
      </c>
      <c r="C35" s="2"/>
      <c r="D35" s="213">
        <f>SUM(D16:D34)</f>
        <v>3000000</v>
      </c>
      <c r="E35" s="213">
        <f t="shared" ref="E35:P35" si="11">SUM(E16:E34)</f>
        <v>3000000</v>
      </c>
      <c r="F35" s="213">
        <f t="shared" si="11"/>
        <v>430346.82</v>
      </c>
      <c r="G35" s="213">
        <f t="shared" si="11"/>
        <v>0</v>
      </c>
      <c r="H35" s="213">
        <f t="shared" si="11"/>
        <v>0</v>
      </c>
      <c r="I35" s="213">
        <f t="shared" si="11"/>
        <v>0</v>
      </c>
      <c r="J35" s="213">
        <f t="shared" si="11"/>
        <v>0</v>
      </c>
      <c r="K35" s="213">
        <f t="shared" si="11"/>
        <v>0</v>
      </c>
      <c r="L35" s="213">
        <f t="shared" si="11"/>
        <v>0</v>
      </c>
      <c r="M35" s="213">
        <f t="shared" si="11"/>
        <v>0</v>
      </c>
      <c r="N35" s="213">
        <f t="shared" si="11"/>
        <v>0</v>
      </c>
      <c r="O35" s="213">
        <f t="shared" si="11"/>
        <v>0</v>
      </c>
      <c r="P35" s="213">
        <f t="shared" si="11"/>
        <v>430346.82</v>
      </c>
      <c r="Q35" s="213">
        <f>(P35/D35)*100</f>
        <v>14.344894</v>
      </c>
      <c r="R35" s="213">
        <f>(P35/E35)*100</f>
        <v>14.344894</v>
      </c>
    </row>
    <row r="38" spans="1:18" ht="38.25">
      <c r="A38" s="12" t="s">
        <v>156</v>
      </c>
      <c r="B38" s="77" t="s">
        <v>369</v>
      </c>
      <c r="C38" s="2"/>
      <c r="D38" s="85" t="s">
        <v>490</v>
      </c>
      <c r="E38" s="203" t="s">
        <v>493</v>
      </c>
      <c r="F38" s="204" t="s">
        <v>492</v>
      </c>
      <c r="G38" s="204" t="s">
        <v>497</v>
      </c>
      <c r="H38" s="204" t="s">
        <v>505</v>
      </c>
      <c r="I38" s="204" t="s">
        <v>498</v>
      </c>
      <c r="J38" s="204" t="s">
        <v>499</v>
      </c>
      <c r="K38" s="204" t="s">
        <v>500</v>
      </c>
      <c r="L38" s="204" t="s">
        <v>501</v>
      </c>
      <c r="M38" s="204" t="s">
        <v>502</v>
      </c>
      <c r="N38" s="204" t="s">
        <v>503</v>
      </c>
      <c r="O38" s="204" t="s">
        <v>504</v>
      </c>
      <c r="P38" s="204" t="s">
        <v>496</v>
      </c>
      <c r="Q38" s="204" t="s">
        <v>543</v>
      </c>
      <c r="R38" s="205" t="s">
        <v>495</v>
      </c>
    </row>
    <row r="39" spans="1:18">
      <c r="A39" s="12" t="s">
        <v>177</v>
      </c>
      <c r="B39" s="8" t="s">
        <v>160</v>
      </c>
      <c r="C39" s="2"/>
      <c r="D39" s="111">
        <v>50000</v>
      </c>
      <c r="E39" s="101">
        <v>50000</v>
      </c>
      <c r="F39" s="101">
        <v>0</v>
      </c>
      <c r="G39" s="101"/>
      <c r="H39" s="101"/>
      <c r="I39" s="101"/>
      <c r="J39" s="101"/>
      <c r="K39" s="101"/>
      <c r="L39" s="101"/>
      <c r="M39" s="101"/>
      <c r="N39" s="101"/>
      <c r="O39" s="101"/>
      <c r="P39" s="101">
        <f>SUM(F39:O39)</f>
        <v>0</v>
      </c>
      <c r="Q39" s="101">
        <f t="shared" ref="Q39" si="12">(P39/D39)*100</f>
        <v>0</v>
      </c>
      <c r="R39" s="101">
        <f t="shared" ref="R39" si="13">(P39/E39)*100</f>
        <v>0</v>
      </c>
    </row>
    <row r="40" spans="1:18">
      <c r="B40" s="5" t="s">
        <v>3</v>
      </c>
      <c r="C40" s="2"/>
      <c r="D40" s="213">
        <f>SUM(D39)</f>
        <v>50000</v>
      </c>
      <c r="E40" s="213">
        <f t="shared" ref="E40:P40" si="14">SUM(E39)</f>
        <v>50000</v>
      </c>
      <c r="F40" s="213">
        <f t="shared" si="14"/>
        <v>0</v>
      </c>
      <c r="G40" s="213">
        <f t="shared" si="14"/>
        <v>0</v>
      </c>
      <c r="H40" s="213">
        <f t="shared" si="14"/>
        <v>0</v>
      </c>
      <c r="I40" s="213">
        <f t="shared" si="14"/>
        <v>0</v>
      </c>
      <c r="J40" s="213">
        <f t="shared" si="14"/>
        <v>0</v>
      </c>
      <c r="K40" s="213">
        <f t="shared" si="14"/>
        <v>0</v>
      </c>
      <c r="L40" s="213">
        <f t="shared" si="14"/>
        <v>0</v>
      </c>
      <c r="M40" s="213">
        <f t="shared" si="14"/>
        <v>0</v>
      </c>
      <c r="N40" s="213">
        <f t="shared" si="14"/>
        <v>0</v>
      </c>
      <c r="O40" s="213">
        <f t="shared" si="14"/>
        <v>0</v>
      </c>
      <c r="P40" s="213">
        <f t="shared" si="14"/>
        <v>0</v>
      </c>
      <c r="Q40" s="213">
        <f>(P40/D40)*100</f>
        <v>0</v>
      </c>
      <c r="R40" s="213">
        <f>(P40/E40)*100</f>
        <v>0</v>
      </c>
    </row>
    <row r="43" spans="1:18" ht="38.25">
      <c r="A43" s="12" t="s">
        <v>156</v>
      </c>
      <c r="B43" s="77" t="s">
        <v>370</v>
      </c>
      <c r="C43" s="2"/>
      <c r="D43" s="85" t="s">
        <v>490</v>
      </c>
      <c r="E43" s="203" t="s">
        <v>493</v>
      </c>
      <c r="F43" s="204" t="s">
        <v>492</v>
      </c>
      <c r="G43" s="204" t="s">
        <v>497</v>
      </c>
      <c r="H43" s="204" t="s">
        <v>505</v>
      </c>
      <c r="I43" s="204" t="s">
        <v>498</v>
      </c>
      <c r="J43" s="204" t="s">
        <v>499</v>
      </c>
      <c r="K43" s="204" t="s">
        <v>500</v>
      </c>
      <c r="L43" s="204" t="s">
        <v>501</v>
      </c>
      <c r="M43" s="204" t="s">
        <v>502</v>
      </c>
      <c r="N43" s="204" t="s">
        <v>503</v>
      </c>
      <c r="O43" s="204" t="s">
        <v>504</v>
      </c>
      <c r="P43" s="204" t="s">
        <v>496</v>
      </c>
      <c r="Q43" s="171" t="s">
        <v>494</v>
      </c>
      <c r="R43" s="205" t="s">
        <v>495</v>
      </c>
    </row>
    <row r="44" spans="1:18">
      <c r="A44" s="12" t="s">
        <v>178</v>
      </c>
      <c r="B44" s="3" t="s">
        <v>179</v>
      </c>
      <c r="C44" s="2"/>
      <c r="D44" s="111">
        <v>0</v>
      </c>
      <c r="E44" s="101">
        <v>50000</v>
      </c>
      <c r="F44" s="101">
        <v>8220.74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>
        <f>SUM(F44:O44)</f>
        <v>8220.74</v>
      </c>
      <c r="Q44" s="101">
        <v>0</v>
      </c>
      <c r="R44" s="101">
        <f t="shared" ref="R44:R50" si="15">(P44/E44)*100</f>
        <v>16.441479999999999</v>
      </c>
    </row>
    <row r="45" spans="1:18">
      <c r="B45" s="3" t="s">
        <v>180</v>
      </c>
      <c r="C45" s="2"/>
      <c r="D45" s="111">
        <v>0</v>
      </c>
      <c r="E45" s="101">
        <v>55000</v>
      </c>
      <c r="F45" s="101">
        <v>8967.31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>
        <f t="shared" ref="P45:P51" si="16">SUM(F45:O45)</f>
        <v>8967.31</v>
      </c>
      <c r="Q45" s="101">
        <v>0</v>
      </c>
      <c r="R45" s="101">
        <f t="shared" si="15"/>
        <v>16.304199999999998</v>
      </c>
    </row>
    <row r="46" spans="1:18">
      <c r="B46" s="3" t="s">
        <v>181</v>
      </c>
      <c r="C46" s="2"/>
      <c r="D46" s="111">
        <v>0</v>
      </c>
      <c r="E46" s="101">
        <v>5000</v>
      </c>
      <c r="F46" s="101">
        <v>349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>
        <f t="shared" si="16"/>
        <v>349</v>
      </c>
      <c r="Q46" s="101">
        <v>0</v>
      </c>
      <c r="R46" s="101">
        <f t="shared" si="15"/>
        <v>6.98</v>
      </c>
    </row>
    <row r="47" spans="1:18">
      <c r="B47" s="74" t="s">
        <v>281</v>
      </c>
      <c r="C47" s="2"/>
      <c r="D47" s="111">
        <v>0</v>
      </c>
      <c r="E47" s="101">
        <v>1055000</v>
      </c>
      <c r="F47" s="101">
        <v>142040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>
        <f t="shared" si="16"/>
        <v>142040</v>
      </c>
      <c r="Q47" s="101">
        <v>0</v>
      </c>
      <c r="R47" s="101">
        <f t="shared" si="15"/>
        <v>13.463507109004738</v>
      </c>
    </row>
    <row r="48" spans="1:18">
      <c r="B48" s="3" t="s">
        <v>182</v>
      </c>
      <c r="C48" s="2"/>
      <c r="D48" s="111">
        <v>610000</v>
      </c>
      <c r="E48" s="101">
        <v>610000</v>
      </c>
      <c r="F48" s="101">
        <v>0</v>
      </c>
      <c r="G48" s="101"/>
      <c r="H48" s="101"/>
      <c r="I48" s="101"/>
      <c r="J48" s="101"/>
      <c r="K48" s="101"/>
      <c r="L48" s="101"/>
      <c r="M48" s="101"/>
      <c r="N48" s="101"/>
      <c r="O48" s="101"/>
      <c r="P48" s="101">
        <f t="shared" si="16"/>
        <v>0</v>
      </c>
      <c r="Q48" s="101">
        <f t="shared" ref="Q48:Q50" si="17">(P48/D48)*100</f>
        <v>0</v>
      </c>
      <c r="R48" s="101">
        <f t="shared" si="15"/>
        <v>0</v>
      </c>
    </row>
    <row r="49" spans="1:18">
      <c r="B49" s="8" t="s">
        <v>183</v>
      </c>
      <c r="C49" s="2"/>
      <c r="D49" s="111">
        <v>200000</v>
      </c>
      <c r="E49" s="101">
        <v>200000</v>
      </c>
      <c r="F49" s="101">
        <v>0</v>
      </c>
      <c r="G49" s="101"/>
      <c r="H49" s="101"/>
      <c r="I49" s="101"/>
      <c r="J49" s="101"/>
      <c r="K49" s="101"/>
      <c r="L49" s="101"/>
      <c r="M49" s="101"/>
      <c r="N49" s="101"/>
      <c r="O49" s="101"/>
      <c r="P49" s="101">
        <f t="shared" si="16"/>
        <v>0</v>
      </c>
      <c r="Q49" s="101">
        <f t="shared" si="17"/>
        <v>0</v>
      </c>
      <c r="R49" s="101">
        <f t="shared" si="15"/>
        <v>0</v>
      </c>
    </row>
    <row r="50" spans="1:18">
      <c r="B50" s="4" t="s">
        <v>324</v>
      </c>
      <c r="C50" s="2"/>
      <c r="D50" s="111">
        <v>2250000</v>
      </c>
      <c r="E50" s="101">
        <v>1085000</v>
      </c>
      <c r="F50" s="101">
        <v>39000</v>
      </c>
      <c r="G50" s="101"/>
      <c r="H50" s="101"/>
      <c r="I50" s="101"/>
      <c r="J50" s="101"/>
      <c r="K50" s="101"/>
      <c r="L50" s="101"/>
      <c r="M50" s="101"/>
      <c r="N50" s="101"/>
      <c r="O50" s="101"/>
      <c r="P50" s="101">
        <f t="shared" si="16"/>
        <v>39000</v>
      </c>
      <c r="Q50" s="101">
        <f t="shared" si="17"/>
        <v>1.7333333333333332</v>
      </c>
      <c r="R50" s="101">
        <f t="shared" si="15"/>
        <v>3.5944700460829497</v>
      </c>
    </row>
    <row r="51" spans="1:18">
      <c r="A51" s="12"/>
      <c r="B51" s="4" t="s">
        <v>507</v>
      </c>
      <c r="C51" s="2"/>
      <c r="D51" s="111">
        <v>12500000</v>
      </c>
      <c r="E51" s="101">
        <v>12500000</v>
      </c>
      <c r="F51" s="101">
        <v>7805</v>
      </c>
      <c r="G51" s="101"/>
      <c r="H51" s="101"/>
      <c r="I51" s="101"/>
      <c r="J51" s="101"/>
      <c r="K51" s="101"/>
      <c r="L51" s="101"/>
      <c r="M51" s="101"/>
      <c r="N51" s="101"/>
      <c r="O51" s="101"/>
      <c r="P51" s="101">
        <f t="shared" si="16"/>
        <v>7805</v>
      </c>
      <c r="Q51" s="101">
        <f t="shared" ref="Q51" si="18">(P51/D51)*100</f>
        <v>6.2440000000000002E-2</v>
      </c>
      <c r="R51" s="101">
        <f t="shared" ref="R51" si="19">(P51/E51)*100</f>
        <v>6.2440000000000002E-2</v>
      </c>
    </row>
    <row r="52" spans="1:18">
      <c r="B52" s="5" t="s">
        <v>3</v>
      </c>
      <c r="C52" s="2"/>
      <c r="D52" s="213">
        <f t="shared" ref="D52:P52" si="20">SUM(D44:D51)</f>
        <v>15560000</v>
      </c>
      <c r="E52" s="213">
        <f t="shared" si="20"/>
        <v>15560000</v>
      </c>
      <c r="F52" s="213">
        <f t="shared" si="20"/>
        <v>206382.05</v>
      </c>
      <c r="G52" s="213">
        <f t="shared" si="20"/>
        <v>0</v>
      </c>
      <c r="H52" s="213">
        <f t="shared" si="20"/>
        <v>0</v>
      </c>
      <c r="I52" s="213">
        <f t="shared" si="20"/>
        <v>0</v>
      </c>
      <c r="J52" s="213">
        <f t="shared" si="20"/>
        <v>0</v>
      </c>
      <c r="K52" s="213">
        <f t="shared" si="20"/>
        <v>0</v>
      </c>
      <c r="L52" s="213">
        <f t="shared" si="20"/>
        <v>0</v>
      </c>
      <c r="M52" s="213">
        <f t="shared" si="20"/>
        <v>0</v>
      </c>
      <c r="N52" s="213">
        <f t="shared" si="20"/>
        <v>0</v>
      </c>
      <c r="O52" s="213">
        <f t="shared" si="20"/>
        <v>0</v>
      </c>
      <c r="P52" s="213">
        <f t="shared" si="20"/>
        <v>206382.05</v>
      </c>
      <c r="Q52" s="213">
        <f>(P52/D52)*100</f>
        <v>1.3263627892030847</v>
      </c>
      <c r="R52" s="213">
        <f>(P52/E52)*100</f>
        <v>1.3263627892030847</v>
      </c>
    </row>
    <row r="55" spans="1:18" ht="38.25">
      <c r="A55" s="12" t="s">
        <v>156</v>
      </c>
      <c r="B55" s="77" t="s">
        <v>536</v>
      </c>
      <c r="C55" s="2"/>
      <c r="D55" s="85" t="s">
        <v>490</v>
      </c>
      <c r="E55" s="203" t="s">
        <v>493</v>
      </c>
      <c r="F55" s="204" t="s">
        <v>492</v>
      </c>
      <c r="G55" s="204" t="s">
        <v>497</v>
      </c>
      <c r="H55" s="204" t="s">
        <v>505</v>
      </c>
      <c r="I55" s="204" t="s">
        <v>498</v>
      </c>
      <c r="J55" s="204" t="s">
        <v>499</v>
      </c>
      <c r="K55" s="204" t="s">
        <v>500</v>
      </c>
      <c r="L55" s="204" t="s">
        <v>501</v>
      </c>
      <c r="M55" s="204" t="s">
        <v>502</v>
      </c>
      <c r="N55" s="204" t="s">
        <v>503</v>
      </c>
      <c r="O55" s="204" t="s">
        <v>504</v>
      </c>
      <c r="P55" s="204" t="s">
        <v>496</v>
      </c>
      <c r="Q55" s="204" t="s">
        <v>543</v>
      </c>
      <c r="R55" s="205" t="s">
        <v>495</v>
      </c>
    </row>
    <row r="56" spans="1:18">
      <c r="A56" s="2" t="s">
        <v>537</v>
      </c>
      <c r="B56" s="4" t="s">
        <v>507</v>
      </c>
      <c r="C56" s="2"/>
      <c r="D56" s="111">
        <v>50000</v>
      </c>
      <c r="E56" s="101">
        <v>50000</v>
      </c>
      <c r="F56" s="101">
        <v>0</v>
      </c>
      <c r="G56" s="101"/>
      <c r="H56" s="101"/>
      <c r="I56" s="101"/>
      <c r="J56" s="101"/>
      <c r="K56" s="101"/>
      <c r="L56" s="101"/>
      <c r="M56" s="101"/>
      <c r="N56" s="101"/>
      <c r="O56" s="101"/>
      <c r="P56" s="101">
        <f>SUM(F56:O56)</f>
        <v>0</v>
      </c>
      <c r="Q56" s="101">
        <f t="shared" ref="Q56" si="21">(P56/D56)*100</f>
        <v>0</v>
      </c>
      <c r="R56" s="101">
        <f t="shared" ref="R56" si="22">(P56/E56)*100</f>
        <v>0</v>
      </c>
    </row>
    <row r="57" spans="1:18">
      <c r="B57" s="5" t="s">
        <v>3</v>
      </c>
      <c r="C57" s="2"/>
      <c r="D57" s="213">
        <f>SUM(D56)</f>
        <v>50000</v>
      </c>
      <c r="E57" s="213">
        <f t="shared" ref="E57:P57" si="23">SUM(E56)</f>
        <v>50000</v>
      </c>
      <c r="F57" s="213">
        <f t="shared" si="23"/>
        <v>0</v>
      </c>
      <c r="G57" s="213">
        <f t="shared" si="23"/>
        <v>0</v>
      </c>
      <c r="H57" s="213">
        <f t="shared" si="23"/>
        <v>0</v>
      </c>
      <c r="I57" s="213">
        <f t="shared" si="23"/>
        <v>0</v>
      </c>
      <c r="J57" s="213">
        <f t="shared" si="23"/>
        <v>0</v>
      </c>
      <c r="K57" s="213">
        <f t="shared" si="23"/>
        <v>0</v>
      </c>
      <c r="L57" s="213">
        <f t="shared" si="23"/>
        <v>0</v>
      </c>
      <c r="M57" s="213">
        <f t="shared" si="23"/>
        <v>0</v>
      </c>
      <c r="N57" s="213">
        <f t="shared" si="23"/>
        <v>0</v>
      </c>
      <c r="O57" s="213">
        <f t="shared" si="23"/>
        <v>0</v>
      </c>
      <c r="P57" s="213">
        <f t="shared" si="23"/>
        <v>0</v>
      </c>
      <c r="Q57" s="213">
        <f>(P57/D57)*100</f>
        <v>0</v>
      </c>
      <c r="R57" s="213">
        <f>(P57/E57)*100</f>
        <v>0</v>
      </c>
    </row>
    <row r="60" spans="1:18" ht="38.25">
      <c r="B60" s="77" t="s">
        <v>371</v>
      </c>
      <c r="C60" s="2"/>
      <c r="D60" s="85" t="s">
        <v>490</v>
      </c>
      <c r="E60" s="203" t="s">
        <v>493</v>
      </c>
      <c r="F60" s="204" t="s">
        <v>492</v>
      </c>
      <c r="G60" s="204" t="s">
        <v>497</v>
      </c>
      <c r="H60" s="204" t="s">
        <v>505</v>
      </c>
      <c r="I60" s="204" t="s">
        <v>498</v>
      </c>
      <c r="J60" s="204" t="s">
        <v>499</v>
      </c>
      <c r="K60" s="204" t="s">
        <v>500</v>
      </c>
      <c r="L60" s="204" t="s">
        <v>501</v>
      </c>
      <c r="M60" s="204" t="s">
        <v>502</v>
      </c>
      <c r="N60" s="204" t="s">
        <v>503</v>
      </c>
      <c r="O60" s="204" t="s">
        <v>504</v>
      </c>
      <c r="P60" s="204" t="s">
        <v>496</v>
      </c>
      <c r="Q60" s="204" t="s">
        <v>543</v>
      </c>
      <c r="R60" s="205" t="s">
        <v>495</v>
      </c>
    </row>
    <row r="61" spans="1:18">
      <c r="A61" s="12" t="s">
        <v>184</v>
      </c>
      <c r="B61" s="68" t="s">
        <v>508</v>
      </c>
      <c r="C61" s="2"/>
      <c r="D61" s="111">
        <v>100000</v>
      </c>
      <c r="E61" s="101">
        <v>100000</v>
      </c>
      <c r="F61" s="101">
        <v>2668.05</v>
      </c>
      <c r="G61" s="101"/>
      <c r="H61" s="101"/>
      <c r="I61" s="101"/>
      <c r="J61" s="101"/>
      <c r="K61" s="101"/>
      <c r="L61" s="101"/>
      <c r="M61" s="101"/>
      <c r="N61" s="101"/>
      <c r="O61" s="101"/>
      <c r="P61" s="101">
        <f>SUM(F61:O61)</f>
        <v>2668.05</v>
      </c>
      <c r="Q61" s="101">
        <f t="shared" ref="Q61:Q62" si="24">(P61/D61)*100</f>
        <v>2.6680500000000005</v>
      </c>
      <c r="R61" s="101">
        <f t="shared" ref="R61:R62" si="25">(P61/E61)*100</f>
        <v>2.6680500000000005</v>
      </c>
    </row>
    <row r="62" spans="1:18">
      <c r="B62" s="74" t="s">
        <v>509</v>
      </c>
      <c r="C62" s="2"/>
      <c r="D62" s="111">
        <v>400000</v>
      </c>
      <c r="E62" s="101">
        <v>400000</v>
      </c>
      <c r="F62" s="101">
        <v>0</v>
      </c>
      <c r="G62" s="101"/>
      <c r="H62" s="101"/>
      <c r="I62" s="101"/>
      <c r="J62" s="101"/>
      <c r="K62" s="101"/>
      <c r="L62" s="101"/>
      <c r="M62" s="101"/>
      <c r="N62" s="101"/>
      <c r="O62" s="101"/>
      <c r="P62" s="101">
        <f t="shared" ref="P62:P63" si="26">SUM(F62:O62)</f>
        <v>0</v>
      </c>
      <c r="Q62" s="101">
        <f t="shared" si="24"/>
        <v>0</v>
      </c>
      <c r="R62" s="101">
        <f t="shared" si="25"/>
        <v>0</v>
      </c>
    </row>
    <row r="63" spans="1:18">
      <c r="B63" s="4" t="s">
        <v>507</v>
      </c>
      <c r="C63" s="2"/>
      <c r="D63" s="111">
        <v>950000</v>
      </c>
      <c r="E63" s="101">
        <v>1150000</v>
      </c>
      <c r="F63" s="101">
        <v>0</v>
      </c>
      <c r="G63" s="101"/>
      <c r="H63" s="101"/>
      <c r="I63" s="101"/>
      <c r="J63" s="101"/>
      <c r="K63" s="101"/>
      <c r="L63" s="101"/>
      <c r="M63" s="101"/>
      <c r="N63" s="101"/>
      <c r="O63" s="101"/>
      <c r="P63" s="101">
        <f t="shared" si="26"/>
        <v>0</v>
      </c>
      <c r="Q63" s="101">
        <f t="shared" ref="Q63" si="27">(P63/D63)*100</f>
        <v>0</v>
      </c>
      <c r="R63" s="101">
        <f t="shared" ref="R63" si="28">(P63/E63)*100</f>
        <v>0</v>
      </c>
    </row>
    <row r="64" spans="1:18">
      <c r="B64" s="5" t="s">
        <v>3</v>
      </c>
      <c r="C64" s="2"/>
      <c r="D64" s="213">
        <f>SUM(D61:D63)</f>
        <v>1450000</v>
      </c>
      <c r="E64" s="213">
        <f t="shared" ref="E64:P64" si="29">SUM(E61:E63)</f>
        <v>1650000</v>
      </c>
      <c r="F64" s="213">
        <f t="shared" si="29"/>
        <v>2668.05</v>
      </c>
      <c r="G64" s="213">
        <f t="shared" si="29"/>
        <v>0</v>
      </c>
      <c r="H64" s="213">
        <f t="shared" si="29"/>
        <v>0</v>
      </c>
      <c r="I64" s="213">
        <f t="shared" si="29"/>
        <v>0</v>
      </c>
      <c r="J64" s="213">
        <f t="shared" si="29"/>
        <v>0</v>
      </c>
      <c r="K64" s="213">
        <f t="shared" si="29"/>
        <v>0</v>
      </c>
      <c r="L64" s="213">
        <f t="shared" si="29"/>
        <v>0</v>
      </c>
      <c r="M64" s="213">
        <f t="shared" si="29"/>
        <v>0</v>
      </c>
      <c r="N64" s="213">
        <f t="shared" si="29"/>
        <v>0</v>
      </c>
      <c r="O64" s="213">
        <f t="shared" si="29"/>
        <v>0</v>
      </c>
      <c r="P64" s="213">
        <f t="shared" si="29"/>
        <v>2668.05</v>
      </c>
      <c r="Q64" s="213">
        <f>(P64/D64)*100</f>
        <v>0.18400344827586207</v>
      </c>
      <c r="R64" s="213">
        <f>(P64/E64)*100</f>
        <v>0.16170000000000001</v>
      </c>
    </row>
    <row r="67" spans="1:18" ht="38.25">
      <c r="A67" s="12" t="s">
        <v>156</v>
      </c>
      <c r="B67" s="77" t="s">
        <v>372</v>
      </c>
      <c r="C67" s="2"/>
      <c r="D67" s="85" t="s">
        <v>490</v>
      </c>
      <c r="E67" s="203" t="s">
        <v>493</v>
      </c>
      <c r="F67" s="204" t="s">
        <v>492</v>
      </c>
      <c r="G67" s="204" t="s">
        <v>497</v>
      </c>
      <c r="H67" s="204" t="s">
        <v>505</v>
      </c>
      <c r="I67" s="204" t="s">
        <v>498</v>
      </c>
      <c r="J67" s="204" t="s">
        <v>499</v>
      </c>
      <c r="K67" s="204" t="s">
        <v>500</v>
      </c>
      <c r="L67" s="204" t="s">
        <v>501</v>
      </c>
      <c r="M67" s="204" t="s">
        <v>502</v>
      </c>
      <c r="N67" s="204" t="s">
        <v>503</v>
      </c>
      <c r="O67" s="204" t="s">
        <v>504</v>
      </c>
      <c r="P67" s="204" t="s">
        <v>496</v>
      </c>
      <c r="Q67" s="204" t="s">
        <v>543</v>
      </c>
      <c r="R67" s="205" t="s">
        <v>495</v>
      </c>
    </row>
    <row r="68" spans="1:18">
      <c r="A68" s="12" t="s">
        <v>186</v>
      </c>
      <c r="B68" s="83" t="s">
        <v>508</v>
      </c>
      <c r="C68" s="2"/>
      <c r="D68" s="111">
        <v>100000</v>
      </c>
      <c r="E68" s="101">
        <v>100000</v>
      </c>
      <c r="F68" s="101">
        <v>0</v>
      </c>
      <c r="G68" s="101"/>
      <c r="H68" s="101"/>
      <c r="I68" s="101"/>
      <c r="J68" s="101"/>
      <c r="K68" s="101"/>
      <c r="L68" s="101"/>
      <c r="M68" s="101"/>
      <c r="N68" s="101"/>
      <c r="O68" s="101"/>
      <c r="P68" s="101">
        <f>SUM(F68:O68)</f>
        <v>0</v>
      </c>
      <c r="Q68" s="101">
        <f t="shared" ref="Q68:Q69" si="30">(P68/D68)*100</f>
        <v>0</v>
      </c>
      <c r="R68" s="101">
        <f t="shared" ref="R68:R69" si="31">(P68/E68)*100</f>
        <v>0</v>
      </c>
    </row>
    <row r="69" spans="1:18">
      <c r="B69" s="74" t="s">
        <v>509</v>
      </c>
      <c r="C69" s="2"/>
      <c r="D69" s="111">
        <v>300000</v>
      </c>
      <c r="E69" s="101">
        <v>300000</v>
      </c>
      <c r="F69" s="101">
        <v>0</v>
      </c>
      <c r="G69" s="101"/>
      <c r="H69" s="101"/>
      <c r="I69" s="101"/>
      <c r="J69" s="101"/>
      <c r="K69" s="101"/>
      <c r="L69" s="101"/>
      <c r="M69" s="101"/>
      <c r="N69" s="101"/>
      <c r="O69" s="101"/>
      <c r="P69" s="101">
        <f t="shared" ref="P69:P70" si="32">SUM(F69:O69)</f>
        <v>0</v>
      </c>
      <c r="Q69" s="101">
        <f t="shared" si="30"/>
        <v>0</v>
      </c>
      <c r="R69" s="101">
        <f t="shared" si="31"/>
        <v>0</v>
      </c>
    </row>
    <row r="70" spans="1:18">
      <c r="B70" s="4" t="s">
        <v>507</v>
      </c>
      <c r="C70" s="2"/>
      <c r="D70" s="111">
        <v>0</v>
      </c>
      <c r="E70" s="101">
        <v>400000</v>
      </c>
      <c r="F70" s="101">
        <v>24408</v>
      </c>
      <c r="G70" s="101"/>
      <c r="H70" s="101"/>
      <c r="I70" s="101"/>
      <c r="J70" s="101"/>
      <c r="K70" s="101"/>
      <c r="L70" s="101"/>
      <c r="M70" s="101"/>
      <c r="N70" s="101"/>
      <c r="O70" s="101"/>
      <c r="P70" s="101">
        <f t="shared" si="32"/>
        <v>24408</v>
      </c>
      <c r="Q70" s="101">
        <v>0</v>
      </c>
      <c r="R70" s="101">
        <f t="shared" ref="R70" si="33">(P70/E70)*100</f>
        <v>6.1019999999999994</v>
      </c>
    </row>
    <row r="71" spans="1:18">
      <c r="B71" s="5" t="s">
        <v>3</v>
      </c>
      <c r="C71" s="2"/>
      <c r="D71" s="213">
        <f>SUM(D68:D70)</f>
        <v>400000</v>
      </c>
      <c r="E71" s="213">
        <f t="shared" ref="E71:P71" si="34">SUM(E68:E70)</f>
        <v>800000</v>
      </c>
      <c r="F71" s="213">
        <f t="shared" si="34"/>
        <v>24408</v>
      </c>
      <c r="G71" s="213">
        <f t="shared" si="34"/>
        <v>0</v>
      </c>
      <c r="H71" s="213">
        <f t="shared" si="34"/>
        <v>0</v>
      </c>
      <c r="I71" s="213">
        <f t="shared" si="34"/>
        <v>0</v>
      </c>
      <c r="J71" s="213">
        <f t="shared" si="34"/>
        <v>0</v>
      </c>
      <c r="K71" s="213">
        <f t="shared" si="34"/>
        <v>0</v>
      </c>
      <c r="L71" s="213">
        <f t="shared" si="34"/>
        <v>0</v>
      </c>
      <c r="M71" s="213">
        <f t="shared" si="34"/>
        <v>0</v>
      </c>
      <c r="N71" s="213">
        <f t="shared" si="34"/>
        <v>0</v>
      </c>
      <c r="O71" s="213">
        <f t="shared" si="34"/>
        <v>0</v>
      </c>
      <c r="P71" s="213">
        <f t="shared" si="34"/>
        <v>24408</v>
      </c>
      <c r="Q71" s="213">
        <f>(P71/D71)*100</f>
        <v>6.1019999999999994</v>
      </c>
      <c r="R71" s="213">
        <f>(P71/E71)*100</f>
        <v>3.0509999999999997</v>
      </c>
    </row>
    <row r="74" spans="1:18" ht="38.25">
      <c r="A74" s="12" t="s">
        <v>156</v>
      </c>
      <c r="B74" s="77" t="s">
        <v>373</v>
      </c>
      <c r="C74" s="2"/>
      <c r="D74" s="85" t="s">
        <v>490</v>
      </c>
      <c r="E74" s="203" t="s">
        <v>493</v>
      </c>
      <c r="F74" s="204" t="s">
        <v>492</v>
      </c>
      <c r="G74" s="204" t="s">
        <v>497</v>
      </c>
      <c r="H74" s="204" t="s">
        <v>505</v>
      </c>
      <c r="I74" s="204" t="s">
        <v>498</v>
      </c>
      <c r="J74" s="204" t="s">
        <v>499</v>
      </c>
      <c r="K74" s="204" t="s">
        <v>500</v>
      </c>
      <c r="L74" s="204" t="s">
        <v>501</v>
      </c>
      <c r="M74" s="204" t="s">
        <v>502</v>
      </c>
      <c r="N74" s="204" t="s">
        <v>503</v>
      </c>
      <c r="O74" s="204" t="s">
        <v>504</v>
      </c>
      <c r="P74" s="204" t="s">
        <v>496</v>
      </c>
      <c r="Q74" s="204" t="s">
        <v>543</v>
      </c>
      <c r="R74" s="205" t="s">
        <v>495</v>
      </c>
    </row>
    <row r="75" spans="1:18" ht="25.5">
      <c r="A75" s="12" t="s">
        <v>187</v>
      </c>
      <c r="B75" s="67" t="s">
        <v>188</v>
      </c>
      <c r="C75" s="2"/>
      <c r="D75" s="111">
        <f>SUM(D76:D77)</f>
        <v>1693410</v>
      </c>
      <c r="E75" s="101">
        <v>1693410</v>
      </c>
      <c r="F75" s="101">
        <v>301400</v>
      </c>
      <c r="G75" s="101"/>
      <c r="H75" s="101"/>
      <c r="I75" s="101"/>
      <c r="J75" s="101"/>
      <c r="K75" s="101"/>
      <c r="L75" s="101"/>
      <c r="M75" s="101"/>
      <c r="N75" s="101"/>
      <c r="O75" s="101"/>
      <c r="P75" s="101">
        <f>SUM(F75:O75)</f>
        <v>301400</v>
      </c>
      <c r="Q75" s="101">
        <f t="shared" ref="Q75:Q78" si="35">(P75/D75)*100</f>
        <v>17.798406765048039</v>
      </c>
      <c r="R75" s="101">
        <f t="shared" ref="R75:R78" si="36">(P75/E75)*100</f>
        <v>17.798406765048039</v>
      </c>
    </row>
    <row r="76" spans="1:18" hidden="1">
      <c r="B76" s="229" t="s">
        <v>6</v>
      </c>
      <c r="C76" s="2"/>
      <c r="D76" s="111">
        <v>186410</v>
      </c>
      <c r="Q76" s="213">
        <f t="shared" si="35"/>
        <v>0</v>
      </c>
      <c r="R76" s="213" t="e">
        <f t="shared" si="36"/>
        <v>#DIV/0!</v>
      </c>
    </row>
    <row r="77" spans="1:18" hidden="1">
      <c r="B77" s="229" t="s">
        <v>7</v>
      </c>
      <c r="C77" s="2"/>
      <c r="D77" s="111">
        <v>1507000</v>
      </c>
      <c r="Q77" s="101">
        <f t="shared" si="35"/>
        <v>0</v>
      </c>
      <c r="R77" s="101" t="e">
        <f t="shared" si="36"/>
        <v>#DIV/0!</v>
      </c>
    </row>
    <row r="78" spans="1:18">
      <c r="B78" s="5" t="s">
        <v>3</v>
      </c>
      <c r="C78" s="2"/>
      <c r="D78" s="213">
        <f>D75</f>
        <v>1693410</v>
      </c>
      <c r="E78" s="213">
        <f t="shared" ref="E78:P78" si="37">E75</f>
        <v>1693410</v>
      </c>
      <c r="F78" s="213">
        <f t="shared" si="37"/>
        <v>301400</v>
      </c>
      <c r="G78" s="213">
        <f t="shared" si="37"/>
        <v>0</v>
      </c>
      <c r="H78" s="213">
        <f t="shared" si="37"/>
        <v>0</v>
      </c>
      <c r="I78" s="213">
        <f t="shared" si="37"/>
        <v>0</v>
      </c>
      <c r="J78" s="213">
        <f t="shared" si="37"/>
        <v>0</v>
      </c>
      <c r="K78" s="213">
        <f t="shared" si="37"/>
        <v>0</v>
      </c>
      <c r="L78" s="213">
        <f t="shared" si="37"/>
        <v>0</v>
      </c>
      <c r="M78" s="213">
        <f t="shared" si="37"/>
        <v>0</v>
      </c>
      <c r="N78" s="213">
        <f t="shared" si="37"/>
        <v>0</v>
      </c>
      <c r="O78" s="213">
        <f t="shared" si="37"/>
        <v>0</v>
      </c>
      <c r="P78" s="213">
        <f t="shared" si="37"/>
        <v>301400</v>
      </c>
      <c r="Q78" s="213">
        <f t="shared" si="35"/>
        <v>17.798406765048039</v>
      </c>
      <c r="R78" s="213">
        <f t="shared" si="36"/>
        <v>17.798406765048039</v>
      </c>
    </row>
    <row r="79" spans="1:18">
      <c r="B79" s="9"/>
      <c r="C79" s="2"/>
    </row>
    <row r="80" spans="1:18" hidden="1">
      <c r="B80" s="217" t="s">
        <v>189</v>
      </c>
      <c r="C80" s="2"/>
      <c r="D80" s="218"/>
    </row>
    <row r="81" spans="2:4" hidden="1">
      <c r="B81" s="216" t="s">
        <v>8</v>
      </c>
      <c r="C81" s="2"/>
      <c r="D81" s="218">
        <v>400</v>
      </c>
    </row>
    <row r="82" spans="2:4" hidden="1">
      <c r="B82" s="216" t="s">
        <v>5</v>
      </c>
      <c r="C82" s="2"/>
      <c r="D82" s="218">
        <v>150</v>
      </c>
    </row>
    <row r="83" spans="2:4" hidden="1">
      <c r="B83" s="216" t="s">
        <v>190</v>
      </c>
      <c r="C83" s="2"/>
      <c r="D83" s="218">
        <v>60</v>
      </c>
    </row>
    <row r="84" spans="2:4" hidden="1">
      <c r="B84" s="216" t="s">
        <v>191</v>
      </c>
      <c r="C84" s="2"/>
      <c r="D84" s="218">
        <v>100</v>
      </c>
    </row>
    <row r="85" spans="2:4" hidden="1">
      <c r="B85" s="216" t="s">
        <v>192</v>
      </c>
      <c r="C85" s="2"/>
      <c r="D85" s="218">
        <v>22</v>
      </c>
    </row>
    <row r="86" spans="2:4" hidden="1">
      <c r="B86" s="216" t="s">
        <v>193</v>
      </c>
      <c r="C86" s="2"/>
      <c r="D86" s="218">
        <v>30</v>
      </c>
    </row>
    <row r="87" spans="2:4" hidden="1">
      <c r="B87" s="216" t="s">
        <v>194</v>
      </c>
      <c r="C87" s="2"/>
      <c r="D87" s="218">
        <v>10</v>
      </c>
    </row>
    <row r="88" spans="2:4" hidden="1">
      <c r="B88" s="216" t="s">
        <v>195</v>
      </c>
      <c r="C88" s="2"/>
      <c r="D88" s="218">
        <v>40</v>
      </c>
    </row>
    <row r="89" spans="2:4" hidden="1">
      <c r="B89" s="216" t="s">
        <v>196</v>
      </c>
      <c r="C89" s="2"/>
      <c r="D89" s="218">
        <v>30</v>
      </c>
    </row>
    <row r="90" spans="2:4" hidden="1">
      <c r="B90" s="216" t="s">
        <v>197</v>
      </c>
      <c r="C90" s="2"/>
      <c r="D90" s="218">
        <v>100</v>
      </c>
    </row>
    <row r="91" spans="2:4" hidden="1">
      <c r="B91" s="216" t="s">
        <v>198</v>
      </c>
      <c r="C91" s="2"/>
      <c r="D91" s="218">
        <v>150</v>
      </c>
    </row>
    <row r="92" spans="2:4" hidden="1">
      <c r="B92" s="216" t="s">
        <v>199</v>
      </c>
      <c r="C92" s="2"/>
      <c r="D92" s="218">
        <v>100</v>
      </c>
    </row>
    <row r="93" spans="2:4" hidden="1">
      <c r="B93" s="216" t="s">
        <v>200</v>
      </c>
      <c r="C93" s="2"/>
      <c r="D93" s="218">
        <v>140</v>
      </c>
    </row>
    <row r="94" spans="2:4" hidden="1">
      <c r="B94" s="216" t="s">
        <v>201</v>
      </c>
      <c r="C94" s="2"/>
      <c r="D94" s="218">
        <v>30</v>
      </c>
    </row>
    <row r="95" spans="2:4" hidden="1">
      <c r="B95" s="216" t="s">
        <v>202</v>
      </c>
      <c r="C95" s="2"/>
      <c r="D95" s="218">
        <v>15</v>
      </c>
    </row>
    <row r="96" spans="2:4" hidden="1">
      <c r="B96" s="216" t="s">
        <v>203</v>
      </c>
      <c r="C96" s="2"/>
      <c r="D96" s="218">
        <v>100</v>
      </c>
    </row>
    <row r="97" spans="1:18" hidden="1">
      <c r="B97" s="216" t="s">
        <v>204</v>
      </c>
      <c r="C97" s="2"/>
      <c r="D97" s="218">
        <v>30</v>
      </c>
    </row>
    <row r="98" spans="1:18" hidden="1">
      <c r="B98" s="216" t="s">
        <v>9</v>
      </c>
      <c r="C98" s="2"/>
      <c r="D98" s="219">
        <f>SUM(D81:D97)</f>
        <v>1507</v>
      </c>
    </row>
    <row r="99" spans="1:18" hidden="1"/>
    <row r="101" spans="1:18" ht="38.25">
      <c r="A101" s="12" t="s">
        <v>156</v>
      </c>
      <c r="B101" s="77" t="s">
        <v>374</v>
      </c>
      <c r="C101" s="2"/>
      <c r="D101" s="85" t="s">
        <v>490</v>
      </c>
      <c r="E101" s="203" t="s">
        <v>493</v>
      </c>
      <c r="F101" s="204" t="s">
        <v>492</v>
      </c>
      <c r="G101" s="204" t="s">
        <v>497</v>
      </c>
      <c r="H101" s="204" t="s">
        <v>505</v>
      </c>
      <c r="I101" s="204" t="s">
        <v>498</v>
      </c>
      <c r="J101" s="204" t="s">
        <v>499</v>
      </c>
      <c r="K101" s="204" t="s">
        <v>500</v>
      </c>
      <c r="L101" s="204" t="s">
        <v>501</v>
      </c>
      <c r="M101" s="204" t="s">
        <v>502</v>
      </c>
      <c r="N101" s="204" t="s">
        <v>503</v>
      </c>
      <c r="O101" s="204" t="s">
        <v>504</v>
      </c>
      <c r="P101" s="204" t="s">
        <v>496</v>
      </c>
      <c r="Q101" s="204" t="s">
        <v>543</v>
      </c>
      <c r="R101" s="205" t="s">
        <v>495</v>
      </c>
    </row>
    <row r="102" spans="1:18" ht="25.5">
      <c r="A102" s="12" t="s">
        <v>205</v>
      </c>
      <c r="B102" s="67" t="s">
        <v>188</v>
      </c>
      <c r="C102" s="2"/>
      <c r="D102" s="111">
        <f>SUM(D103:D105)</f>
        <v>4120000</v>
      </c>
      <c r="E102" s="101">
        <v>4120000</v>
      </c>
      <c r="F102" s="101">
        <v>1260000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>
        <f>SUM(F102:O102)</f>
        <v>1260000</v>
      </c>
      <c r="Q102" s="101">
        <f t="shared" ref="Q102" si="38">(P102/D102)*100</f>
        <v>30.582524271844658</v>
      </c>
      <c r="R102" s="101">
        <f t="shared" ref="R102" si="39">(P102/E102)*100</f>
        <v>30.582524271844658</v>
      </c>
    </row>
    <row r="103" spans="1:18" hidden="1">
      <c r="B103" s="228" t="s">
        <v>6</v>
      </c>
      <c r="C103" s="2"/>
      <c r="D103" s="111">
        <v>300000</v>
      </c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101">
        <f t="shared" ref="P103:P106" si="40">SUM(F103:O103)</f>
        <v>0</v>
      </c>
    </row>
    <row r="104" spans="1:18" hidden="1">
      <c r="B104" s="228" t="s">
        <v>7</v>
      </c>
      <c r="C104" s="2"/>
      <c r="D104" s="111">
        <v>3800000</v>
      </c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101">
        <f t="shared" si="40"/>
        <v>0</v>
      </c>
    </row>
    <row r="105" spans="1:18" hidden="1">
      <c r="B105" s="228" t="s">
        <v>420</v>
      </c>
      <c r="C105" s="2"/>
      <c r="D105" s="221">
        <v>20000</v>
      </c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101">
        <f t="shared" si="40"/>
        <v>0</v>
      </c>
    </row>
    <row r="106" spans="1:18">
      <c r="B106" s="4" t="s">
        <v>507</v>
      </c>
      <c r="C106" s="2"/>
      <c r="D106" s="221">
        <v>16500000</v>
      </c>
      <c r="E106" s="209">
        <v>14900000</v>
      </c>
      <c r="F106" s="209">
        <v>92214.1</v>
      </c>
      <c r="G106" s="209"/>
      <c r="H106" s="209"/>
      <c r="I106" s="209"/>
      <c r="J106" s="209"/>
      <c r="K106" s="209"/>
      <c r="L106" s="209"/>
      <c r="M106" s="209"/>
      <c r="N106" s="209"/>
      <c r="O106" s="209"/>
      <c r="P106" s="101">
        <f t="shared" si="40"/>
        <v>92214.1</v>
      </c>
    </row>
    <row r="107" spans="1:18">
      <c r="B107" s="5" t="s">
        <v>3</v>
      </c>
      <c r="C107" s="2"/>
      <c r="D107" s="213">
        <f>D102+D106</f>
        <v>20620000</v>
      </c>
      <c r="E107" s="213">
        <f t="shared" ref="E107:P107" si="41">E102+E106</f>
        <v>19020000</v>
      </c>
      <c r="F107" s="213">
        <f t="shared" si="41"/>
        <v>1352214.1</v>
      </c>
      <c r="G107" s="213">
        <f t="shared" si="41"/>
        <v>0</v>
      </c>
      <c r="H107" s="213">
        <f t="shared" si="41"/>
        <v>0</v>
      </c>
      <c r="I107" s="213">
        <f t="shared" si="41"/>
        <v>0</v>
      </c>
      <c r="J107" s="213">
        <f t="shared" si="41"/>
        <v>0</v>
      </c>
      <c r="K107" s="213">
        <f t="shared" si="41"/>
        <v>0</v>
      </c>
      <c r="L107" s="213">
        <f t="shared" si="41"/>
        <v>0</v>
      </c>
      <c r="M107" s="213">
        <f t="shared" si="41"/>
        <v>0</v>
      </c>
      <c r="N107" s="213">
        <f t="shared" si="41"/>
        <v>0</v>
      </c>
      <c r="O107" s="213">
        <f t="shared" si="41"/>
        <v>0</v>
      </c>
      <c r="P107" s="213">
        <f t="shared" si="41"/>
        <v>1352214.1</v>
      </c>
      <c r="Q107" s="213">
        <f t="shared" ref="Q107" si="42">(P107/D107)*100</f>
        <v>6.5577793404461699</v>
      </c>
      <c r="R107" s="213">
        <f t="shared" ref="R107" si="43">(P107/E107)*100</f>
        <v>7.1094327024185073</v>
      </c>
    </row>
    <row r="108" spans="1:18">
      <c r="B108" s="9"/>
      <c r="C108" s="2"/>
    </row>
    <row r="109" spans="1:18" hidden="1">
      <c r="B109" s="217" t="s">
        <v>206</v>
      </c>
      <c r="C109" s="2"/>
      <c r="D109" s="218"/>
    </row>
    <row r="110" spans="1:18" hidden="1">
      <c r="B110" s="220" t="s">
        <v>5</v>
      </c>
      <c r="C110" s="2"/>
      <c r="D110" s="218">
        <v>650</v>
      </c>
    </row>
    <row r="111" spans="1:18" hidden="1">
      <c r="B111" s="220" t="s">
        <v>8</v>
      </c>
      <c r="C111" s="2"/>
      <c r="D111" s="218">
        <v>1550</v>
      </c>
    </row>
    <row r="112" spans="1:18" hidden="1">
      <c r="B112" s="220" t="s">
        <v>190</v>
      </c>
      <c r="C112" s="2"/>
      <c r="D112" s="218">
        <v>180</v>
      </c>
    </row>
    <row r="113" spans="2:4" hidden="1">
      <c r="B113" s="220" t="s">
        <v>207</v>
      </c>
      <c r="C113" s="2"/>
      <c r="D113" s="218">
        <v>60</v>
      </c>
    </row>
    <row r="114" spans="2:4" hidden="1">
      <c r="B114" s="220" t="s">
        <v>208</v>
      </c>
      <c r="C114" s="2"/>
      <c r="D114" s="218">
        <v>48</v>
      </c>
    </row>
    <row r="115" spans="2:4" hidden="1">
      <c r="B115" s="220" t="s">
        <v>196</v>
      </c>
      <c r="C115" s="2"/>
      <c r="D115" s="218">
        <v>70</v>
      </c>
    </row>
    <row r="116" spans="2:4" hidden="1">
      <c r="B116" s="220" t="s">
        <v>209</v>
      </c>
      <c r="C116" s="2"/>
      <c r="D116" s="222">
        <v>108</v>
      </c>
    </row>
    <row r="117" spans="2:4" hidden="1">
      <c r="B117" s="220" t="s">
        <v>210</v>
      </c>
      <c r="C117" s="2"/>
      <c r="D117" s="222">
        <v>94</v>
      </c>
    </row>
    <row r="118" spans="2:4" hidden="1">
      <c r="B118" s="220" t="s">
        <v>211</v>
      </c>
      <c r="C118" s="2"/>
      <c r="D118" s="222">
        <v>110</v>
      </c>
    </row>
    <row r="119" spans="2:4" hidden="1">
      <c r="B119" s="220" t="s">
        <v>212</v>
      </c>
      <c r="C119" s="2"/>
      <c r="D119" s="222">
        <v>71</v>
      </c>
    </row>
    <row r="120" spans="2:4" hidden="1">
      <c r="B120" s="220" t="s">
        <v>213</v>
      </c>
      <c r="C120" s="2"/>
      <c r="D120" s="222">
        <v>35</v>
      </c>
    </row>
    <row r="121" spans="2:4" hidden="1">
      <c r="B121" s="220" t="s">
        <v>214</v>
      </c>
      <c r="C121" s="2"/>
      <c r="D121" s="222">
        <v>190</v>
      </c>
    </row>
    <row r="122" spans="2:4" hidden="1">
      <c r="B122" s="220" t="s">
        <v>215</v>
      </c>
      <c r="C122" s="2"/>
      <c r="D122" s="222">
        <v>150</v>
      </c>
    </row>
    <row r="123" spans="2:4" hidden="1">
      <c r="B123" s="223" t="s">
        <v>325</v>
      </c>
      <c r="C123" s="2"/>
      <c r="D123" s="222">
        <v>160</v>
      </c>
    </row>
    <row r="124" spans="2:4" hidden="1">
      <c r="B124" s="223" t="s">
        <v>326</v>
      </c>
      <c r="C124" s="2"/>
      <c r="D124" s="222">
        <v>140</v>
      </c>
    </row>
    <row r="125" spans="2:4" hidden="1">
      <c r="B125" s="220" t="s">
        <v>216</v>
      </c>
      <c r="C125" s="2"/>
      <c r="D125" s="222">
        <v>88</v>
      </c>
    </row>
    <row r="126" spans="2:4" hidden="1">
      <c r="B126" s="223" t="s">
        <v>327</v>
      </c>
      <c r="C126" s="2"/>
      <c r="D126" s="222">
        <v>96</v>
      </c>
    </row>
    <row r="127" spans="2:4" hidden="1">
      <c r="B127" s="220" t="s">
        <v>9</v>
      </c>
      <c r="C127" s="2"/>
      <c r="D127" s="219">
        <f>SUM(D110:D126)</f>
        <v>3800</v>
      </c>
    </row>
    <row r="128" spans="2:4" hidden="1"/>
    <row r="130" spans="1:18" ht="38.25">
      <c r="A130" s="12" t="s">
        <v>156</v>
      </c>
      <c r="B130" s="77" t="s">
        <v>375</v>
      </c>
      <c r="C130" s="2"/>
      <c r="D130" s="85" t="s">
        <v>490</v>
      </c>
      <c r="E130" s="203" t="s">
        <v>493</v>
      </c>
      <c r="F130" s="204" t="s">
        <v>492</v>
      </c>
      <c r="G130" s="204" t="s">
        <v>497</v>
      </c>
      <c r="H130" s="204" t="s">
        <v>505</v>
      </c>
      <c r="I130" s="204" t="s">
        <v>498</v>
      </c>
      <c r="J130" s="204" t="s">
        <v>499</v>
      </c>
      <c r="K130" s="204" t="s">
        <v>500</v>
      </c>
      <c r="L130" s="204" t="s">
        <v>501</v>
      </c>
      <c r="M130" s="204" t="s">
        <v>502</v>
      </c>
      <c r="N130" s="204" t="s">
        <v>503</v>
      </c>
      <c r="O130" s="204" t="s">
        <v>504</v>
      </c>
      <c r="P130" s="204" t="s">
        <v>496</v>
      </c>
      <c r="Q130" s="204" t="s">
        <v>543</v>
      </c>
      <c r="R130" s="205" t="s">
        <v>495</v>
      </c>
    </row>
    <row r="131" spans="1:18" ht="25.5">
      <c r="A131" s="12" t="s">
        <v>217</v>
      </c>
      <c r="B131" s="67" t="s">
        <v>188</v>
      </c>
      <c r="C131" s="2"/>
      <c r="D131" s="111">
        <f>SUM(D132:D133)</f>
        <v>189000</v>
      </c>
      <c r="E131" s="101">
        <v>189000</v>
      </c>
      <c r="F131" s="101">
        <v>17000</v>
      </c>
      <c r="G131" s="101"/>
      <c r="H131" s="101"/>
      <c r="I131" s="101"/>
      <c r="J131" s="101"/>
      <c r="K131" s="101"/>
      <c r="L131" s="101"/>
      <c r="M131" s="101"/>
      <c r="N131" s="101"/>
      <c r="O131" s="101"/>
      <c r="P131" s="101">
        <f>SUM(F131:O131)</f>
        <v>17000</v>
      </c>
      <c r="Q131" s="101">
        <f t="shared" ref="Q131:Q134" si="44">(P131/D131)*100</f>
        <v>8.9947089947089935</v>
      </c>
      <c r="R131" s="101">
        <f t="shared" ref="R131:R134" si="45">(P131/E131)*100</f>
        <v>8.9947089947089935</v>
      </c>
    </row>
    <row r="132" spans="1:18" hidden="1">
      <c r="B132" s="220" t="s">
        <v>6</v>
      </c>
      <c r="C132" s="2"/>
      <c r="D132" s="111">
        <v>21000</v>
      </c>
      <c r="Q132" s="213">
        <f t="shared" si="44"/>
        <v>0</v>
      </c>
      <c r="R132" s="213" t="e">
        <f t="shared" si="45"/>
        <v>#DIV/0!</v>
      </c>
    </row>
    <row r="133" spans="1:18" hidden="1">
      <c r="B133" s="220" t="s">
        <v>7</v>
      </c>
      <c r="C133" s="2"/>
      <c r="D133" s="111">
        <v>168000</v>
      </c>
      <c r="Q133" s="101">
        <f t="shared" si="44"/>
        <v>0</v>
      </c>
      <c r="R133" s="101" t="e">
        <f t="shared" si="45"/>
        <v>#DIV/0!</v>
      </c>
    </row>
    <row r="134" spans="1:18">
      <c r="B134" s="5" t="s">
        <v>3</v>
      </c>
      <c r="C134" s="2"/>
      <c r="D134" s="213">
        <f>D131</f>
        <v>189000</v>
      </c>
      <c r="E134" s="213">
        <f t="shared" ref="E134:P134" si="46">E131</f>
        <v>189000</v>
      </c>
      <c r="F134" s="213">
        <f t="shared" si="46"/>
        <v>17000</v>
      </c>
      <c r="G134" s="213">
        <f t="shared" si="46"/>
        <v>0</v>
      </c>
      <c r="H134" s="213">
        <f t="shared" si="46"/>
        <v>0</v>
      </c>
      <c r="I134" s="213">
        <f t="shared" si="46"/>
        <v>0</v>
      </c>
      <c r="J134" s="213">
        <f t="shared" si="46"/>
        <v>0</v>
      </c>
      <c r="K134" s="213">
        <f t="shared" si="46"/>
        <v>0</v>
      </c>
      <c r="L134" s="213">
        <f t="shared" si="46"/>
        <v>0</v>
      </c>
      <c r="M134" s="213">
        <f t="shared" si="46"/>
        <v>0</v>
      </c>
      <c r="N134" s="213">
        <f t="shared" si="46"/>
        <v>0</v>
      </c>
      <c r="O134" s="213">
        <f t="shared" si="46"/>
        <v>0</v>
      </c>
      <c r="P134" s="213">
        <f t="shared" si="46"/>
        <v>17000</v>
      </c>
      <c r="Q134" s="213">
        <f t="shared" si="44"/>
        <v>8.9947089947089935</v>
      </c>
      <c r="R134" s="213">
        <f t="shared" si="45"/>
        <v>8.9947089947089935</v>
      </c>
    </row>
    <row r="135" spans="1:18">
      <c r="B135" s="9"/>
      <c r="C135" s="2"/>
    </row>
    <row r="136" spans="1:18" hidden="1">
      <c r="B136" s="217" t="s">
        <v>189</v>
      </c>
      <c r="C136" s="2"/>
      <c r="D136" s="222"/>
    </row>
    <row r="137" spans="1:18" hidden="1">
      <c r="B137" s="220" t="s">
        <v>218</v>
      </c>
      <c r="C137" s="2"/>
      <c r="D137" s="222">
        <v>300</v>
      </c>
    </row>
    <row r="138" spans="1:18" hidden="1">
      <c r="B138" s="220" t="s">
        <v>10</v>
      </c>
      <c r="C138" s="2"/>
      <c r="D138" s="222">
        <v>14</v>
      </c>
    </row>
    <row r="139" spans="1:18" hidden="1">
      <c r="B139" s="220" t="s">
        <v>208</v>
      </c>
      <c r="C139" s="2"/>
      <c r="D139" s="222">
        <v>14</v>
      </c>
    </row>
    <row r="140" spans="1:18" hidden="1">
      <c r="B140" s="220" t="s">
        <v>4</v>
      </c>
      <c r="C140" s="2"/>
      <c r="D140" s="222"/>
    </row>
    <row r="141" spans="1:18" hidden="1">
      <c r="B141" s="220" t="s">
        <v>219</v>
      </c>
      <c r="C141" s="2"/>
      <c r="D141" s="222">
        <v>20</v>
      </c>
    </row>
    <row r="142" spans="1:18" hidden="1">
      <c r="B142" s="220" t="s">
        <v>2</v>
      </c>
      <c r="C142" s="2"/>
      <c r="D142" s="222">
        <v>16</v>
      </c>
    </row>
    <row r="143" spans="1:18" hidden="1">
      <c r="B143" s="220" t="s">
        <v>204</v>
      </c>
      <c r="C143" s="2"/>
      <c r="D143" s="222">
        <v>15</v>
      </c>
    </row>
    <row r="144" spans="1:18" hidden="1">
      <c r="B144" s="220" t="s">
        <v>220</v>
      </c>
      <c r="C144" s="2"/>
      <c r="D144" s="222">
        <v>13</v>
      </c>
    </row>
    <row r="145" spans="2:4" hidden="1">
      <c r="B145" s="220" t="s">
        <v>221</v>
      </c>
      <c r="C145" s="2"/>
      <c r="D145" s="222">
        <v>16</v>
      </c>
    </row>
    <row r="146" spans="2:4" hidden="1">
      <c r="B146" s="220" t="s">
        <v>222</v>
      </c>
      <c r="C146" s="2"/>
      <c r="D146" s="222">
        <v>16</v>
      </c>
    </row>
    <row r="147" spans="2:4" hidden="1">
      <c r="B147" s="220" t="s">
        <v>223</v>
      </c>
      <c r="C147" s="2"/>
      <c r="D147" s="222">
        <v>54</v>
      </c>
    </row>
    <row r="148" spans="2:4" hidden="1">
      <c r="B148" s="220" t="s">
        <v>224</v>
      </c>
      <c r="C148" s="2"/>
      <c r="D148" s="222">
        <v>50</v>
      </c>
    </row>
    <row r="149" spans="2:4" hidden="1">
      <c r="B149" s="220" t="s">
        <v>225</v>
      </c>
      <c r="C149" s="2"/>
      <c r="D149" s="222">
        <v>47</v>
      </c>
    </row>
    <row r="150" spans="2:4" hidden="1">
      <c r="B150" s="220" t="s">
        <v>226</v>
      </c>
      <c r="C150" s="2"/>
      <c r="D150" s="222">
        <v>43</v>
      </c>
    </row>
    <row r="151" spans="2:4" hidden="1">
      <c r="B151" s="220" t="s">
        <v>227</v>
      </c>
      <c r="C151" s="2"/>
      <c r="D151" s="222">
        <v>85</v>
      </c>
    </row>
    <row r="152" spans="2:4" hidden="1">
      <c r="B152" s="220" t="s">
        <v>228</v>
      </c>
      <c r="C152" s="2"/>
      <c r="D152" s="222">
        <v>11</v>
      </c>
    </row>
    <row r="153" spans="2:4" hidden="1">
      <c r="B153" s="220" t="s">
        <v>229</v>
      </c>
      <c r="C153" s="2"/>
      <c r="D153" s="222">
        <v>4</v>
      </c>
    </row>
    <row r="154" spans="2:4" hidden="1">
      <c r="B154" s="220" t="s">
        <v>230</v>
      </c>
      <c r="C154" s="2"/>
      <c r="D154" s="219">
        <f>SUM(D137:D153)</f>
        <v>718</v>
      </c>
    </row>
    <row r="155" spans="2:4" hidden="1">
      <c r="B155" s="220" t="s">
        <v>231</v>
      </c>
      <c r="C155" s="2"/>
      <c r="D155" s="222">
        <v>550</v>
      </c>
    </row>
    <row r="156" spans="2:4" hidden="1">
      <c r="B156" s="220" t="s">
        <v>232</v>
      </c>
      <c r="C156" s="2"/>
      <c r="D156" s="219">
        <f>D154-D155</f>
        <v>168</v>
      </c>
    </row>
    <row r="157" spans="2:4" hidden="1"/>
    <row r="158" spans="2:4" hidden="1"/>
    <row r="159" spans="2:4" hidden="1"/>
    <row r="160" spans="2:4" hidden="1"/>
    <row r="161" spans="1:18" hidden="1"/>
    <row r="162" spans="1:18" hidden="1"/>
    <row r="163" spans="1:18" hidden="1"/>
    <row r="165" spans="1:18" ht="38.25">
      <c r="A165" s="12" t="s">
        <v>156</v>
      </c>
      <c r="B165" s="77" t="s">
        <v>233</v>
      </c>
      <c r="C165" s="2"/>
      <c r="D165" s="85" t="s">
        <v>490</v>
      </c>
      <c r="E165" s="203" t="s">
        <v>493</v>
      </c>
      <c r="F165" s="204" t="s">
        <v>492</v>
      </c>
      <c r="G165" s="204" t="s">
        <v>497</v>
      </c>
      <c r="H165" s="204" t="s">
        <v>505</v>
      </c>
      <c r="I165" s="204" t="s">
        <v>498</v>
      </c>
      <c r="J165" s="204" t="s">
        <v>499</v>
      </c>
      <c r="K165" s="204" t="s">
        <v>500</v>
      </c>
      <c r="L165" s="204" t="s">
        <v>501</v>
      </c>
      <c r="M165" s="204" t="s">
        <v>502</v>
      </c>
      <c r="N165" s="204" t="s">
        <v>503</v>
      </c>
      <c r="O165" s="204" t="s">
        <v>504</v>
      </c>
      <c r="P165" s="204" t="s">
        <v>496</v>
      </c>
      <c r="Q165" s="204" t="s">
        <v>543</v>
      </c>
      <c r="R165" s="205" t="s">
        <v>495</v>
      </c>
    </row>
    <row r="166" spans="1:18">
      <c r="A166" s="12" t="s">
        <v>234</v>
      </c>
      <c r="B166" s="3" t="s">
        <v>235</v>
      </c>
      <c r="C166" s="2"/>
      <c r="D166" s="111">
        <v>310000</v>
      </c>
      <c r="E166" s="101">
        <v>605570</v>
      </c>
      <c r="F166" s="101">
        <v>117400</v>
      </c>
      <c r="G166" s="101"/>
      <c r="H166" s="101"/>
      <c r="I166" s="101"/>
      <c r="J166" s="101"/>
      <c r="K166" s="101"/>
      <c r="L166" s="101"/>
      <c r="M166" s="101"/>
      <c r="N166" s="101"/>
      <c r="O166" s="101"/>
      <c r="P166" s="101">
        <f>SUM(F166:O166)</f>
        <v>117400</v>
      </c>
      <c r="Q166" s="101">
        <f t="shared" ref="Q166:Q185" si="47">(P166/D166)*100</f>
        <v>37.870967741935488</v>
      </c>
      <c r="R166" s="101">
        <f t="shared" ref="R166:R185" si="48">(P166/E166)*100</f>
        <v>19.38669352841125</v>
      </c>
    </row>
    <row r="167" spans="1:18">
      <c r="B167" s="3" t="s">
        <v>164</v>
      </c>
      <c r="C167" s="2"/>
      <c r="D167" s="111">
        <v>104000</v>
      </c>
      <c r="E167" s="101">
        <v>197100</v>
      </c>
      <c r="F167" s="101">
        <v>42101</v>
      </c>
      <c r="G167" s="101"/>
      <c r="H167" s="101"/>
      <c r="I167" s="101"/>
      <c r="J167" s="101"/>
      <c r="K167" s="101"/>
      <c r="L167" s="101"/>
      <c r="M167" s="101"/>
      <c r="N167" s="101"/>
      <c r="O167" s="101"/>
      <c r="P167" s="101">
        <f t="shared" ref="P167:P186" si="49">SUM(F167:O167)</f>
        <v>42101</v>
      </c>
      <c r="Q167" s="101">
        <f t="shared" si="47"/>
        <v>40.481730769230765</v>
      </c>
      <c r="R167" s="101">
        <f t="shared" si="48"/>
        <v>21.360223236935568</v>
      </c>
    </row>
    <row r="168" spans="1:18">
      <c r="B168" s="3" t="s">
        <v>165</v>
      </c>
      <c r="C168" s="2"/>
      <c r="D168" s="111">
        <v>41000</v>
      </c>
      <c r="E168" s="101">
        <v>80900</v>
      </c>
      <c r="F168" s="101">
        <v>17693</v>
      </c>
      <c r="G168" s="101"/>
      <c r="H168" s="101"/>
      <c r="I168" s="101"/>
      <c r="J168" s="101"/>
      <c r="K168" s="101"/>
      <c r="L168" s="101"/>
      <c r="M168" s="101"/>
      <c r="N168" s="101"/>
      <c r="O168" s="101"/>
      <c r="P168" s="101">
        <f t="shared" si="49"/>
        <v>17693</v>
      </c>
      <c r="Q168" s="101">
        <f t="shared" si="47"/>
        <v>43.153658536585368</v>
      </c>
      <c r="R168" s="101">
        <f t="shared" si="48"/>
        <v>21.870210135970332</v>
      </c>
    </row>
    <row r="169" spans="1:18">
      <c r="B169" s="3" t="s">
        <v>166</v>
      </c>
      <c r="C169" s="2"/>
      <c r="D169" s="111">
        <v>3000</v>
      </c>
      <c r="E169" s="101">
        <v>3000</v>
      </c>
      <c r="F169" s="101">
        <v>576</v>
      </c>
      <c r="G169" s="101"/>
      <c r="H169" s="101"/>
      <c r="I169" s="101"/>
      <c r="J169" s="101"/>
      <c r="K169" s="101"/>
      <c r="L169" s="101"/>
      <c r="M169" s="101"/>
      <c r="N169" s="101"/>
      <c r="O169" s="101"/>
      <c r="P169" s="101">
        <f t="shared" si="49"/>
        <v>576</v>
      </c>
      <c r="Q169" s="101">
        <f t="shared" si="47"/>
        <v>19.2</v>
      </c>
      <c r="R169" s="101">
        <f t="shared" si="48"/>
        <v>19.2</v>
      </c>
    </row>
    <row r="170" spans="1:18" hidden="1">
      <c r="B170" s="4" t="s">
        <v>337</v>
      </c>
      <c r="C170" s="2"/>
      <c r="D170" s="11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>
        <f t="shared" si="49"/>
        <v>0</v>
      </c>
      <c r="Q170" s="101" t="e">
        <f t="shared" si="47"/>
        <v>#DIV/0!</v>
      </c>
      <c r="R170" s="101" t="e">
        <f t="shared" si="48"/>
        <v>#DIV/0!</v>
      </c>
    </row>
    <row r="171" spans="1:18">
      <c r="B171" s="3" t="s">
        <v>236</v>
      </c>
      <c r="C171" s="2"/>
      <c r="D171" s="111">
        <v>185000</v>
      </c>
      <c r="E171" s="101">
        <v>185000</v>
      </c>
      <c r="F171" s="101">
        <v>38201</v>
      </c>
      <c r="G171" s="101"/>
      <c r="H171" s="101"/>
      <c r="I171" s="101"/>
      <c r="J171" s="101"/>
      <c r="K171" s="101"/>
      <c r="L171" s="101"/>
      <c r="M171" s="101"/>
      <c r="N171" s="101"/>
      <c r="O171" s="101"/>
      <c r="P171" s="101">
        <f t="shared" si="49"/>
        <v>38201</v>
      </c>
      <c r="Q171" s="101">
        <f t="shared" si="47"/>
        <v>20.64918918918919</v>
      </c>
      <c r="R171" s="101">
        <f t="shared" si="48"/>
        <v>20.64918918918919</v>
      </c>
    </row>
    <row r="172" spans="1:18">
      <c r="B172" s="3" t="s">
        <v>168</v>
      </c>
      <c r="C172" s="2"/>
      <c r="D172" s="111">
        <v>30000</v>
      </c>
      <c r="E172" s="101">
        <v>30000</v>
      </c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>
        <f t="shared" si="49"/>
        <v>0</v>
      </c>
      <c r="Q172" s="101">
        <f t="shared" si="47"/>
        <v>0</v>
      </c>
      <c r="R172" s="101">
        <f t="shared" si="48"/>
        <v>0</v>
      </c>
    </row>
    <row r="173" spans="1:18">
      <c r="B173" s="3" t="s">
        <v>169</v>
      </c>
      <c r="C173" s="2"/>
      <c r="D173" s="111">
        <v>10000</v>
      </c>
      <c r="E173" s="101">
        <v>10000</v>
      </c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>
        <f t="shared" si="49"/>
        <v>0</v>
      </c>
      <c r="Q173" s="101">
        <f t="shared" si="47"/>
        <v>0</v>
      </c>
      <c r="R173" s="101">
        <f t="shared" si="48"/>
        <v>0</v>
      </c>
    </row>
    <row r="174" spans="1:18">
      <c r="B174" s="3" t="s">
        <v>185</v>
      </c>
      <c r="C174" s="2"/>
      <c r="D174" s="111">
        <v>5000</v>
      </c>
      <c r="E174" s="101">
        <v>5000</v>
      </c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>
        <f t="shared" si="49"/>
        <v>0</v>
      </c>
      <c r="Q174" s="101">
        <f t="shared" si="47"/>
        <v>0</v>
      </c>
      <c r="R174" s="101">
        <f t="shared" si="48"/>
        <v>0</v>
      </c>
    </row>
    <row r="175" spans="1:18">
      <c r="B175" s="3" t="s">
        <v>181</v>
      </c>
      <c r="C175" s="2"/>
      <c r="D175" s="111">
        <v>78000</v>
      </c>
      <c r="E175" s="101">
        <v>78000</v>
      </c>
      <c r="F175" s="101">
        <v>13500</v>
      </c>
      <c r="G175" s="101"/>
      <c r="H175" s="101"/>
      <c r="I175" s="101"/>
      <c r="J175" s="101"/>
      <c r="K175" s="101"/>
      <c r="L175" s="101"/>
      <c r="M175" s="101"/>
      <c r="N175" s="101"/>
      <c r="O175" s="101"/>
      <c r="P175" s="101">
        <f t="shared" si="49"/>
        <v>13500</v>
      </c>
      <c r="Q175" s="101">
        <f t="shared" si="47"/>
        <v>17.307692307692307</v>
      </c>
      <c r="R175" s="101">
        <f t="shared" si="48"/>
        <v>17.307692307692307</v>
      </c>
    </row>
    <row r="176" spans="1:18">
      <c r="B176" s="3" t="s">
        <v>170</v>
      </c>
      <c r="C176" s="2"/>
      <c r="D176" s="111">
        <v>3000</v>
      </c>
      <c r="E176" s="101">
        <v>3000</v>
      </c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>
        <f t="shared" si="49"/>
        <v>0</v>
      </c>
      <c r="Q176" s="101">
        <f t="shared" si="47"/>
        <v>0</v>
      </c>
      <c r="R176" s="101">
        <f t="shared" si="48"/>
        <v>0</v>
      </c>
    </row>
    <row r="177" spans="1:18">
      <c r="B177" s="3" t="s">
        <v>237</v>
      </c>
      <c r="C177" s="2"/>
      <c r="D177" s="111">
        <v>3000</v>
      </c>
      <c r="E177" s="101">
        <v>3000</v>
      </c>
      <c r="F177" s="101">
        <v>174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1">
        <f t="shared" si="49"/>
        <v>174</v>
      </c>
      <c r="Q177" s="101">
        <f t="shared" si="47"/>
        <v>5.8000000000000007</v>
      </c>
      <c r="R177" s="101">
        <f t="shared" si="48"/>
        <v>5.8000000000000007</v>
      </c>
    </row>
    <row r="178" spans="1:18">
      <c r="B178" s="3" t="s">
        <v>238</v>
      </c>
      <c r="C178" s="2"/>
      <c r="D178" s="111">
        <v>30000</v>
      </c>
      <c r="E178" s="101">
        <v>30000</v>
      </c>
      <c r="F178" s="101">
        <v>4556.9399999999996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1">
        <f t="shared" si="49"/>
        <v>4556.9399999999996</v>
      </c>
      <c r="Q178" s="101">
        <f t="shared" si="47"/>
        <v>15.189799999999998</v>
      </c>
      <c r="R178" s="101">
        <f t="shared" si="48"/>
        <v>15.189799999999998</v>
      </c>
    </row>
    <row r="179" spans="1:18">
      <c r="B179" s="3" t="s">
        <v>239</v>
      </c>
      <c r="C179" s="2"/>
      <c r="D179" s="111">
        <v>3000</v>
      </c>
      <c r="E179" s="101">
        <v>3000</v>
      </c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>
        <f t="shared" si="49"/>
        <v>0</v>
      </c>
      <c r="Q179" s="101">
        <f t="shared" si="47"/>
        <v>0</v>
      </c>
      <c r="R179" s="101">
        <f t="shared" si="48"/>
        <v>0</v>
      </c>
    </row>
    <row r="180" spans="1:18" ht="25.5">
      <c r="B180" s="74" t="s">
        <v>328</v>
      </c>
      <c r="C180" s="2"/>
      <c r="D180" s="111">
        <v>10000</v>
      </c>
      <c r="E180" s="101">
        <v>10000</v>
      </c>
      <c r="F180" s="101">
        <v>9970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1">
        <f t="shared" si="49"/>
        <v>9970</v>
      </c>
      <c r="Q180" s="101">
        <f t="shared" si="47"/>
        <v>99.7</v>
      </c>
      <c r="R180" s="101">
        <f t="shared" si="48"/>
        <v>99.7</v>
      </c>
    </row>
    <row r="181" spans="1:18">
      <c r="B181" s="74" t="s">
        <v>281</v>
      </c>
      <c r="C181" s="2"/>
      <c r="D181" s="111">
        <v>50000</v>
      </c>
      <c r="E181" s="101">
        <v>50000</v>
      </c>
      <c r="F181" s="101">
        <v>1100</v>
      </c>
      <c r="G181" s="101"/>
      <c r="H181" s="101"/>
      <c r="I181" s="101"/>
      <c r="J181" s="101"/>
      <c r="K181" s="101"/>
      <c r="L181" s="101"/>
      <c r="M181" s="101"/>
      <c r="N181" s="101"/>
      <c r="O181" s="101"/>
      <c r="P181" s="101">
        <f t="shared" si="49"/>
        <v>1100</v>
      </c>
      <c r="Q181" s="101">
        <f t="shared" si="47"/>
        <v>2.1999999999999997</v>
      </c>
      <c r="R181" s="101">
        <f t="shared" si="48"/>
        <v>2.1999999999999997</v>
      </c>
    </row>
    <row r="182" spans="1:18">
      <c r="B182" s="3" t="s">
        <v>173</v>
      </c>
      <c r="C182" s="2"/>
      <c r="D182" s="111">
        <v>5000</v>
      </c>
      <c r="E182" s="101">
        <v>5000</v>
      </c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>
        <f t="shared" si="49"/>
        <v>0</v>
      </c>
      <c r="Q182" s="101">
        <f t="shared" si="47"/>
        <v>0</v>
      </c>
      <c r="R182" s="101">
        <f t="shared" si="48"/>
        <v>0</v>
      </c>
    </row>
    <row r="183" spans="1:18">
      <c r="B183" s="3" t="s">
        <v>241</v>
      </c>
      <c r="C183" s="2"/>
      <c r="D183" s="111">
        <v>4000</v>
      </c>
      <c r="E183" s="101">
        <v>4000</v>
      </c>
      <c r="F183" s="101">
        <v>348</v>
      </c>
      <c r="G183" s="101"/>
      <c r="H183" s="101"/>
      <c r="I183" s="101"/>
      <c r="J183" s="101"/>
      <c r="K183" s="101"/>
      <c r="L183" s="101"/>
      <c r="M183" s="101"/>
      <c r="N183" s="101"/>
      <c r="O183" s="101"/>
      <c r="P183" s="101">
        <f t="shared" si="49"/>
        <v>348</v>
      </c>
      <c r="Q183" s="101">
        <f t="shared" si="47"/>
        <v>8.6999999999999993</v>
      </c>
      <c r="R183" s="101">
        <f t="shared" si="48"/>
        <v>8.6999999999999993</v>
      </c>
    </row>
    <row r="184" spans="1:18">
      <c r="B184" s="3" t="s">
        <v>242</v>
      </c>
      <c r="C184" s="2"/>
      <c r="D184" s="111">
        <v>1000</v>
      </c>
      <c r="E184" s="101">
        <v>1000</v>
      </c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>
        <f t="shared" si="49"/>
        <v>0</v>
      </c>
      <c r="Q184" s="101">
        <f t="shared" si="47"/>
        <v>0</v>
      </c>
      <c r="R184" s="101">
        <f t="shared" si="48"/>
        <v>0</v>
      </c>
    </row>
    <row r="185" spans="1:18">
      <c r="B185" s="3" t="s">
        <v>243</v>
      </c>
      <c r="C185" s="2"/>
      <c r="D185" s="111">
        <v>10000</v>
      </c>
      <c r="E185" s="101">
        <v>10000</v>
      </c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>
        <f t="shared" si="49"/>
        <v>0</v>
      </c>
      <c r="Q185" s="101">
        <f t="shared" si="47"/>
        <v>0</v>
      </c>
      <c r="R185" s="101">
        <f t="shared" si="48"/>
        <v>0</v>
      </c>
    </row>
    <row r="186" spans="1:18">
      <c r="B186" s="3" t="s">
        <v>176</v>
      </c>
      <c r="C186" s="2"/>
      <c r="D186" s="111">
        <v>15000</v>
      </c>
      <c r="E186" s="101">
        <v>15000</v>
      </c>
      <c r="F186" s="101">
        <v>2575</v>
      </c>
      <c r="G186" s="101"/>
      <c r="H186" s="101"/>
      <c r="I186" s="101"/>
      <c r="J186" s="101"/>
      <c r="K186" s="101"/>
      <c r="L186" s="101"/>
      <c r="M186" s="101"/>
      <c r="N186" s="101"/>
      <c r="O186" s="101"/>
      <c r="P186" s="101">
        <f t="shared" si="49"/>
        <v>2575</v>
      </c>
      <c r="Q186" s="101">
        <f t="shared" ref="Q186" si="50">(P186/D186)*100</f>
        <v>17.166666666666668</v>
      </c>
      <c r="R186" s="101">
        <f t="shared" ref="R186" si="51">(P186/E186)*100</f>
        <v>17.166666666666668</v>
      </c>
    </row>
    <row r="187" spans="1:18">
      <c r="B187" s="5" t="s">
        <v>3</v>
      </c>
      <c r="C187" s="2"/>
      <c r="D187" s="213">
        <f>SUM(D166:D186)</f>
        <v>900000</v>
      </c>
      <c r="E187" s="213">
        <f t="shared" ref="E187:P187" si="52">SUM(E166:E186)</f>
        <v>1328570</v>
      </c>
      <c r="F187" s="213">
        <f t="shared" si="52"/>
        <v>248194.94</v>
      </c>
      <c r="G187" s="213">
        <f t="shared" si="52"/>
        <v>0</v>
      </c>
      <c r="H187" s="213">
        <f t="shared" si="52"/>
        <v>0</v>
      </c>
      <c r="I187" s="213">
        <f t="shared" si="52"/>
        <v>0</v>
      </c>
      <c r="J187" s="213">
        <f t="shared" si="52"/>
        <v>0</v>
      </c>
      <c r="K187" s="213">
        <f t="shared" si="52"/>
        <v>0</v>
      </c>
      <c r="L187" s="213">
        <f t="shared" si="52"/>
        <v>0</v>
      </c>
      <c r="M187" s="213">
        <f t="shared" si="52"/>
        <v>0</v>
      </c>
      <c r="N187" s="213">
        <f t="shared" si="52"/>
        <v>0</v>
      </c>
      <c r="O187" s="213">
        <f t="shared" si="52"/>
        <v>0</v>
      </c>
      <c r="P187" s="213">
        <f t="shared" si="52"/>
        <v>248194.94</v>
      </c>
      <c r="Q187" s="213">
        <f>(P187/D187)*100</f>
        <v>27.577215555555558</v>
      </c>
      <c r="R187" s="213">
        <f>(P187/E187)*100</f>
        <v>18.681359657375975</v>
      </c>
    </row>
    <row r="190" spans="1:18" ht="38.25">
      <c r="A190" s="12" t="s">
        <v>156</v>
      </c>
      <c r="B190" s="77" t="s">
        <v>376</v>
      </c>
      <c r="C190" s="2"/>
      <c r="D190" s="85" t="s">
        <v>490</v>
      </c>
      <c r="E190" s="203" t="s">
        <v>493</v>
      </c>
      <c r="F190" s="204" t="s">
        <v>492</v>
      </c>
      <c r="G190" s="204" t="s">
        <v>497</v>
      </c>
      <c r="H190" s="204" t="s">
        <v>505</v>
      </c>
      <c r="I190" s="204" t="s">
        <v>498</v>
      </c>
      <c r="J190" s="204" t="s">
        <v>499</v>
      </c>
      <c r="K190" s="204" t="s">
        <v>500</v>
      </c>
      <c r="L190" s="204" t="s">
        <v>501</v>
      </c>
      <c r="M190" s="204" t="s">
        <v>502</v>
      </c>
      <c r="N190" s="204" t="s">
        <v>503</v>
      </c>
      <c r="O190" s="204" t="s">
        <v>504</v>
      </c>
      <c r="P190" s="204" t="s">
        <v>496</v>
      </c>
      <c r="Q190" s="204" t="s">
        <v>543</v>
      </c>
      <c r="R190" s="205" t="s">
        <v>495</v>
      </c>
    </row>
    <row r="191" spans="1:18">
      <c r="B191" s="240" t="s">
        <v>11</v>
      </c>
      <c r="C191" s="2"/>
    </row>
    <row r="192" spans="1:18">
      <c r="A192" s="12" t="s">
        <v>244</v>
      </c>
      <c r="B192" s="3" t="s">
        <v>235</v>
      </c>
      <c r="C192" s="2"/>
      <c r="D192" s="111">
        <v>1200000</v>
      </c>
      <c r="E192" s="101">
        <v>1190000</v>
      </c>
      <c r="F192" s="101">
        <f>111708+50298</f>
        <v>162006</v>
      </c>
      <c r="G192" s="101"/>
      <c r="H192" s="101"/>
      <c r="I192" s="101"/>
      <c r="J192" s="101"/>
      <c r="K192" s="101"/>
      <c r="L192" s="101"/>
      <c r="M192" s="101"/>
      <c r="N192" s="101"/>
      <c r="O192" s="101"/>
      <c r="P192" s="101">
        <f>SUM(F192:O192)</f>
        <v>162006</v>
      </c>
      <c r="Q192" s="101">
        <f t="shared" ref="Q192" si="53">(P192/D192)*100</f>
        <v>13.500499999999999</v>
      </c>
      <c r="R192" s="101">
        <f t="shared" ref="R192" si="54">(P192/E192)*100</f>
        <v>13.613949579831933</v>
      </c>
    </row>
    <row r="193" spans="2:18">
      <c r="B193" s="3" t="s">
        <v>163</v>
      </c>
      <c r="C193" s="2"/>
      <c r="D193" s="111">
        <v>200000</v>
      </c>
      <c r="E193" s="101">
        <v>200000</v>
      </c>
      <c r="F193" s="101">
        <v>7340</v>
      </c>
      <c r="G193" s="101"/>
      <c r="H193" s="101"/>
      <c r="I193" s="101"/>
      <c r="J193" s="101"/>
      <c r="K193" s="101"/>
      <c r="L193" s="101"/>
      <c r="M193" s="101"/>
      <c r="N193" s="101"/>
      <c r="O193" s="101"/>
      <c r="P193" s="101">
        <f t="shared" ref="P193:P222" si="55">SUM(F193:O193)</f>
        <v>7340</v>
      </c>
      <c r="Q193" s="101">
        <f t="shared" ref="Q193:Q222" si="56">(P193/D193)*100</f>
        <v>3.6700000000000004</v>
      </c>
      <c r="R193" s="101">
        <f t="shared" ref="R193:R222" si="57">(P193/E193)*100</f>
        <v>3.6700000000000004</v>
      </c>
    </row>
    <row r="194" spans="2:18">
      <c r="B194" s="3" t="s">
        <v>164</v>
      </c>
      <c r="C194" s="2"/>
      <c r="D194" s="111">
        <v>400000</v>
      </c>
      <c r="E194" s="101">
        <v>400000</v>
      </c>
      <c r="F194" s="101">
        <f>40654+18307</f>
        <v>58961</v>
      </c>
      <c r="G194" s="101"/>
      <c r="H194" s="101"/>
      <c r="I194" s="101"/>
      <c r="J194" s="101"/>
      <c r="K194" s="101"/>
      <c r="L194" s="101"/>
      <c r="M194" s="101"/>
      <c r="N194" s="101"/>
      <c r="O194" s="101"/>
      <c r="P194" s="101">
        <f t="shared" si="55"/>
        <v>58961</v>
      </c>
      <c r="Q194" s="101">
        <f t="shared" si="56"/>
        <v>14.74025</v>
      </c>
      <c r="R194" s="101">
        <f t="shared" si="57"/>
        <v>14.74025</v>
      </c>
    </row>
    <row r="195" spans="2:18">
      <c r="B195" s="3" t="s">
        <v>165</v>
      </c>
      <c r="C195" s="2"/>
      <c r="D195" s="111">
        <v>200000</v>
      </c>
      <c r="E195" s="101">
        <v>200000</v>
      </c>
      <c r="F195" s="101">
        <f>17425+7847</f>
        <v>25272</v>
      </c>
      <c r="G195" s="101"/>
      <c r="H195" s="101"/>
      <c r="I195" s="101"/>
      <c r="J195" s="101"/>
      <c r="K195" s="101"/>
      <c r="L195" s="101"/>
      <c r="M195" s="101"/>
      <c r="N195" s="101"/>
      <c r="O195" s="101"/>
      <c r="P195" s="101">
        <f t="shared" si="55"/>
        <v>25272</v>
      </c>
      <c r="Q195" s="101">
        <f t="shared" si="56"/>
        <v>12.635999999999999</v>
      </c>
      <c r="R195" s="101">
        <f t="shared" si="57"/>
        <v>12.635999999999999</v>
      </c>
    </row>
    <row r="196" spans="2:18">
      <c r="B196" s="3" t="s">
        <v>166</v>
      </c>
      <c r="C196" s="2"/>
      <c r="D196" s="111">
        <v>5000</v>
      </c>
      <c r="E196" s="101">
        <v>5000</v>
      </c>
      <c r="F196" s="101">
        <v>770</v>
      </c>
      <c r="G196" s="101"/>
      <c r="H196" s="101"/>
      <c r="I196" s="101"/>
      <c r="J196" s="101"/>
      <c r="K196" s="101"/>
      <c r="L196" s="101"/>
      <c r="M196" s="101"/>
      <c r="N196" s="101"/>
      <c r="O196" s="101"/>
      <c r="P196" s="101">
        <f t="shared" si="55"/>
        <v>770</v>
      </c>
      <c r="Q196" s="101">
        <f t="shared" si="56"/>
        <v>15.4</v>
      </c>
      <c r="R196" s="101">
        <f t="shared" si="57"/>
        <v>15.4</v>
      </c>
    </row>
    <row r="197" spans="2:18" hidden="1">
      <c r="B197" s="3" t="s">
        <v>245</v>
      </c>
      <c r="C197" s="2"/>
      <c r="D197" s="11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>
        <f t="shared" si="55"/>
        <v>0</v>
      </c>
      <c r="Q197" s="101" t="e">
        <f t="shared" si="56"/>
        <v>#DIV/0!</v>
      </c>
      <c r="R197" s="101" t="e">
        <f t="shared" si="57"/>
        <v>#DIV/0!</v>
      </c>
    </row>
    <row r="198" spans="2:18" hidden="1">
      <c r="B198" s="4" t="s">
        <v>338</v>
      </c>
      <c r="C198" s="2"/>
      <c r="D198" s="11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>
        <f t="shared" si="55"/>
        <v>0</v>
      </c>
      <c r="Q198" s="101" t="e">
        <f t="shared" si="56"/>
        <v>#DIV/0!</v>
      </c>
      <c r="R198" s="101" t="e">
        <f t="shared" si="57"/>
        <v>#DIV/0!</v>
      </c>
    </row>
    <row r="199" spans="2:18">
      <c r="B199" s="3" t="s">
        <v>236</v>
      </c>
      <c r="C199" s="2"/>
      <c r="D199" s="111">
        <v>10000</v>
      </c>
      <c r="E199" s="101">
        <v>10000</v>
      </c>
      <c r="F199" s="101">
        <v>720</v>
      </c>
      <c r="G199" s="101"/>
      <c r="H199" s="101"/>
      <c r="I199" s="101"/>
      <c r="J199" s="101"/>
      <c r="K199" s="101"/>
      <c r="L199" s="101"/>
      <c r="M199" s="101"/>
      <c r="N199" s="101"/>
      <c r="O199" s="101"/>
      <c r="P199" s="101">
        <f t="shared" si="55"/>
        <v>720</v>
      </c>
      <c r="Q199" s="101">
        <f t="shared" si="56"/>
        <v>7.1999999999999993</v>
      </c>
      <c r="R199" s="101">
        <f t="shared" si="57"/>
        <v>7.1999999999999993</v>
      </c>
    </row>
    <row r="200" spans="2:18">
      <c r="B200" s="3" t="s">
        <v>168</v>
      </c>
      <c r="C200" s="2"/>
      <c r="D200" s="111">
        <v>50000</v>
      </c>
      <c r="E200" s="101">
        <v>50000</v>
      </c>
      <c r="F200" s="101">
        <v>5123</v>
      </c>
      <c r="G200" s="101"/>
      <c r="H200" s="101"/>
      <c r="I200" s="101"/>
      <c r="J200" s="101"/>
      <c r="K200" s="101"/>
      <c r="L200" s="101"/>
      <c r="M200" s="101"/>
      <c r="N200" s="101"/>
      <c r="O200" s="101"/>
      <c r="P200" s="101">
        <f t="shared" si="55"/>
        <v>5123</v>
      </c>
      <c r="Q200" s="101">
        <f t="shared" si="56"/>
        <v>10.245999999999999</v>
      </c>
      <c r="R200" s="101">
        <f t="shared" si="57"/>
        <v>10.245999999999999</v>
      </c>
    </row>
    <row r="201" spans="2:18">
      <c r="B201" s="3" t="s">
        <v>246</v>
      </c>
      <c r="C201" s="2"/>
      <c r="D201" s="111">
        <v>200000</v>
      </c>
      <c r="E201" s="101">
        <v>200000</v>
      </c>
      <c r="F201" s="101">
        <v>9779</v>
      </c>
      <c r="G201" s="101"/>
      <c r="H201" s="101"/>
      <c r="I201" s="101"/>
      <c r="J201" s="101"/>
      <c r="K201" s="101"/>
      <c r="L201" s="101"/>
      <c r="M201" s="101"/>
      <c r="N201" s="101"/>
      <c r="O201" s="101"/>
      <c r="P201" s="101">
        <f t="shared" si="55"/>
        <v>9779</v>
      </c>
      <c r="Q201" s="101">
        <f t="shared" si="56"/>
        <v>4.8895</v>
      </c>
      <c r="R201" s="101">
        <f t="shared" si="57"/>
        <v>4.8895</v>
      </c>
    </row>
    <row r="202" spans="2:18">
      <c r="B202" s="3" t="s">
        <v>169</v>
      </c>
      <c r="C202" s="2"/>
      <c r="D202" s="111">
        <v>35000</v>
      </c>
      <c r="E202" s="101">
        <v>35000</v>
      </c>
      <c r="F202" s="101">
        <v>14002</v>
      </c>
      <c r="G202" s="101"/>
      <c r="H202" s="101"/>
      <c r="I202" s="101"/>
      <c r="J202" s="101"/>
      <c r="K202" s="101"/>
      <c r="L202" s="101"/>
      <c r="M202" s="101"/>
      <c r="N202" s="101"/>
      <c r="O202" s="101"/>
      <c r="P202" s="101">
        <f t="shared" si="55"/>
        <v>14002</v>
      </c>
      <c r="Q202" s="101">
        <f t="shared" si="56"/>
        <v>40.005714285714284</v>
      </c>
      <c r="R202" s="101">
        <f t="shared" si="57"/>
        <v>40.005714285714284</v>
      </c>
    </row>
    <row r="203" spans="2:18">
      <c r="B203" s="3" t="s">
        <v>185</v>
      </c>
      <c r="C203" s="2"/>
      <c r="D203" s="111">
        <v>8000</v>
      </c>
      <c r="E203" s="101">
        <v>8000</v>
      </c>
      <c r="F203" s="101">
        <v>0</v>
      </c>
      <c r="G203" s="101"/>
      <c r="H203" s="101"/>
      <c r="I203" s="101"/>
      <c r="J203" s="101"/>
      <c r="K203" s="101"/>
      <c r="L203" s="101"/>
      <c r="M203" s="101"/>
      <c r="N203" s="101"/>
      <c r="O203" s="101"/>
      <c r="P203" s="101">
        <f t="shared" si="55"/>
        <v>0</v>
      </c>
      <c r="Q203" s="101">
        <f t="shared" si="56"/>
        <v>0</v>
      </c>
      <c r="R203" s="101">
        <f t="shared" si="57"/>
        <v>0</v>
      </c>
    </row>
    <row r="204" spans="2:18">
      <c r="B204" s="11" t="s">
        <v>530</v>
      </c>
      <c r="C204" s="2"/>
      <c r="D204" s="111">
        <v>140000</v>
      </c>
      <c r="E204" s="101">
        <v>140000</v>
      </c>
      <c r="F204" s="101">
        <v>36000</v>
      </c>
      <c r="G204" s="101"/>
      <c r="H204" s="101"/>
      <c r="I204" s="101"/>
      <c r="J204" s="101"/>
      <c r="K204" s="101"/>
      <c r="L204" s="101"/>
      <c r="M204" s="101"/>
      <c r="N204" s="101"/>
      <c r="O204" s="101"/>
      <c r="P204" s="101">
        <f t="shared" si="55"/>
        <v>36000</v>
      </c>
      <c r="Q204" s="101">
        <f t="shared" si="56"/>
        <v>25.714285714285712</v>
      </c>
      <c r="R204" s="101">
        <f t="shared" si="57"/>
        <v>25.714285714285712</v>
      </c>
    </row>
    <row r="205" spans="2:18">
      <c r="B205" s="3" t="s">
        <v>181</v>
      </c>
      <c r="C205" s="2"/>
      <c r="D205" s="111">
        <v>50000</v>
      </c>
      <c r="E205" s="101">
        <v>50000</v>
      </c>
      <c r="F205" s="101">
        <v>6510</v>
      </c>
      <c r="G205" s="101"/>
      <c r="H205" s="101"/>
      <c r="I205" s="101"/>
      <c r="J205" s="101"/>
      <c r="K205" s="101"/>
      <c r="L205" s="101"/>
      <c r="M205" s="101"/>
      <c r="N205" s="101"/>
      <c r="O205" s="101"/>
      <c r="P205" s="101">
        <f t="shared" si="55"/>
        <v>6510</v>
      </c>
      <c r="Q205" s="101">
        <f t="shared" si="56"/>
        <v>13.020000000000001</v>
      </c>
      <c r="R205" s="101">
        <f t="shared" si="57"/>
        <v>13.020000000000001</v>
      </c>
    </row>
    <row r="206" spans="2:18" hidden="1">
      <c r="B206" s="3" t="s">
        <v>170</v>
      </c>
      <c r="C206" s="2"/>
      <c r="D206" s="11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>
        <f t="shared" si="55"/>
        <v>0</v>
      </c>
      <c r="Q206" s="101" t="e">
        <f t="shared" si="56"/>
        <v>#DIV/0!</v>
      </c>
      <c r="R206" s="101" t="e">
        <f t="shared" si="57"/>
        <v>#DIV/0!</v>
      </c>
    </row>
    <row r="207" spans="2:18">
      <c r="B207" s="3" t="s">
        <v>237</v>
      </c>
      <c r="C207" s="2"/>
      <c r="D207" s="111">
        <v>40000</v>
      </c>
      <c r="E207" s="101">
        <v>40000</v>
      </c>
      <c r="F207" s="101">
        <f>2924+5503-748</f>
        <v>7679</v>
      </c>
      <c r="G207" s="101"/>
      <c r="H207" s="101"/>
      <c r="I207" s="101"/>
      <c r="J207" s="101"/>
      <c r="K207" s="101"/>
      <c r="L207" s="101"/>
      <c r="M207" s="101"/>
      <c r="N207" s="101"/>
      <c r="O207" s="101"/>
      <c r="P207" s="101">
        <f t="shared" si="55"/>
        <v>7679</v>
      </c>
      <c r="Q207" s="101">
        <f t="shared" si="56"/>
        <v>19.197500000000002</v>
      </c>
      <c r="R207" s="101">
        <f t="shared" si="57"/>
        <v>19.197500000000002</v>
      </c>
    </row>
    <row r="208" spans="2:18">
      <c r="B208" s="3" t="s">
        <v>247</v>
      </c>
      <c r="C208" s="2"/>
      <c r="D208" s="111">
        <v>30000</v>
      </c>
      <c r="E208" s="101">
        <v>30000</v>
      </c>
      <c r="F208" s="101">
        <v>6020.39</v>
      </c>
      <c r="G208" s="101"/>
      <c r="H208" s="101"/>
      <c r="I208" s="101"/>
      <c r="J208" s="101"/>
      <c r="K208" s="101"/>
      <c r="L208" s="101"/>
      <c r="M208" s="101"/>
      <c r="N208" s="101"/>
      <c r="O208" s="101"/>
      <c r="P208" s="101">
        <f t="shared" si="55"/>
        <v>6020.39</v>
      </c>
      <c r="Q208" s="101">
        <f t="shared" si="56"/>
        <v>20.067966666666667</v>
      </c>
      <c r="R208" s="101">
        <f t="shared" si="57"/>
        <v>20.067966666666667</v>
      </c>
    </row>
    <row r="209" spans="2:18">
      <c r="B209" s="4" t="s">
        <v>172</v>
      </c>
      <c r="C209" s="2"/>
      <c r="D209" s="111">
        <v>9000</v>
      </c>
      <c r="E209" s="101">
        <v>9000</v>
      </c>
      <c r="F209" s="101">
        <v>0</v>
      </c>
      <c r="G209" s="101"/>
      <c r="H209" s="101"/>
      <c r="I209" s="101"/>
      <c r="J209" s="101"/>
      <c r="K209" s="101"/>
      <c r="L209" s="101"/>
      <c r="M209" s="101"/>
      <c r="N209" s="101"/>
      <c r="O209" s="101"/>
      <c r="P209" s="101">
        <f t="shared" si="55"/>
        <v>0</v>
      </c>
      <c r="Q209" s="101">
        <f t="shared" si="56"/>
        <v>0</v>
      </c>
      <c r="R209" s="101">
        <f t="shared" si="57"/>
        <v>0</v>
      </c>
    </row>
    <row r="210" spans="2:18">
      <c r="B210" s="3" t="s">
        <v>249</v>
      </c>
      <c r="C210" s="2"/>
      <c r="D210" s="111">
        <v>20000</v>
      </c>
      <c r="E210" s="101">
        <v>20000</v>
      </c>
      <c r="F210" s="101">
        <v>4840</v>
      </c>
      <c r="G210" s="101"/>
      <c r="H210" s="101"/>
      <c r="I210" s="101"/>
      <c r="J210" s="101"/>
      <c r="K210" s="101"/>
      <c r="L210" s="101"/>
      <c r="M210" s="101"/>
      <c r="N210" s="101"/>
      <c r="O210" s="101"/>
      <c r="P210" s="101">
        <f t="shared" si="55"/>
        <v>4840</v>
      </c>
      <c r="Q210" s="101">
        <f t="shared" si="56"/>
        <v>24.2</v>
      </c>
      <c r="R210" s="101">
        <f t="shared" si="57"/>
        <v>24.2</v>
      </c>
    </row>
    <row r="211" spans="2:18">
      <c r="B211" s="3" t="s">
        <v>159</v>
      </c>
      <c r="C211" s="2"/>
      <c r="D211" s="111">
        <v>20000</v>
      </c>
      <c r="E211" s="101">
        <v>20000</v>
      </c>
      <c r="F211" s="101">
        <v>0</v>
      </c>
      <c r="G211" s="101"/>
      <c r="H211" s="101"/>
      <c r="I211" s="101"/>
      <c r="J211" s="101"/>
      <c r="K211" s="101"/>
      <c r="L211" s="101"/>
      <c r="M211" s="101"/>
      <c r="N211" s="101"/>
      <c r="O211" s="101"/>
      <c r="P211" s="101">
        <f t="shared" si="55"/>
        <v>0</v>
      </c>
      <c r="Q211" s="101">
        <f t="shared" si="56"/>
        <v>0</v>
      </c>
      <c r="R211" s="101">
        <f t="shared" si="57"/>
        <v>0</v>
      </c>
    </row>
    <row r="212" spans="2:18" ht="25.5">
      <c r="B212" s="74" t="s">
        <v>328</v>
      </c>
      <c r="C212" s="2"/>
      <c r="D212" s="111">
        <v>0</v>
      </c>
      <c r="E212" s="101">
        <v>10000</v>
      </c>
      <c r="F212" s="101">
        <v>3630</v>
      </c>
      <c r="G212" s="101"/>
      <c r="H212" s="101"/>
      <c r="I212" s="101"/>
      <c r="J212" s="101"/>
      <c r="K212" s="101"/>
      <c r="L212" s="101"/>
      <c r="M212" s="101"/>
      <c r="N212" s="101"/>
      <c r="O212" s="101"/>
      <c r="P212" s="101">
        <f t="shared" si="55"/>
        <v>3630</v>
      </c>
      <c r="Q212" s="101" t="e">
        <f t="shared" si="56"/>
        <v>#DIV/0!</v>
      </c>
      <c r="R212" s="101">
        <f t="shared" si="57"/>
        <v>36.299999999999997</v>
      </c>
    </row>
    <row r="213" spans="2:18">
      <c r="B213" s="74" t="s">
        <v>160</v>
      </c>
      <c r="C213" s="2"/>
      <c r="D213" s="111">
        <v>700000</v>
      </c>
      <c r="E213" s="101">
        <v>690000</v>
      </c>
      <c r="F213" s="101">
        <f>28988.7+80178</f>
        <v>109166.7</v>
      </c>
      <c r="G213" s="101"/>
      <c r="H213" s="101"/>
      <c r="I213" s="101"/>
      <c r="J213" s="101"/>
      <c r="K213" s="101"/>
      <c r="L213" s="101"/>
      <c r="M213" s="101"/>
      <c r="N213" s="101"/>
      <c r="O213" s="101"/>
      <c r="P213" s="101">
        <f t="shared" si="55"/>
        <v>109166.7</v>
      </c>
      <c r="Q213" s="101">
        <f t="shared" si="56"/>
        <v>15.595242857142857</v>
      </c>
      <c r="R213" s="101">
        <f t="shared" si="57"/>
        <v>15.821260869565219</v>
      </c>
    </row>
    <row r="214" spans="2:18">
      <c r="B214" s="3" t="s">
        <v>173</v>
      </c>
      <c r="C214" s="2"/>
      <c r="D214" s="111">
        <v>20000</v>
      </c>
      <c r="E214" s="101">
        <v>30000</v>
      </c>
      <c r="F214" s="101">
        <v>28227.72</v>
      </c>
      <c r="G214" s="101"/>
      <c r="H214" s="101"/>
      <c r="I214" s="101"/>
      <c r="J214" s="101"/>
      <c r="K214" s="101"/>
      <c r="L214" s="101"/>
      <c r="M214" s="101"/>
      <c r="N214" s="101"/>
      <c r="O214" s="101"/>
      <c r="P214" s="101">
        <f t="shared" si="55"/>
        <v>28227.72</v>
      </c>
      <c r="Q214" s="101">
        <f t="shared" si="56"/>
        <v>141.1386</v>
      </c>
      <c r="R214" s="101">
        <f t="shared" si="57"/>
        <v>94.092400000000012</v>
      </c>
    </row>
    <row r="215" spans="2:18">
      <c r="B215" s="3" t="s">
        <v>241</v>
      </c>
      <c r="C215" s="2"/>
      <c r="D215" s="111">
        <v>3000</v>
      </c>
      <c r="E215" s="101">
        <v>3000</v>
      </c>
      <c r="F215" s="101">
        <v>2264</v>
      </c>
      <c r="G215" s="101"/>
      <c r="H215" s="101"/>
      <c r="I215" s="101"/>
      <c r="J215" s="101"/>
      <c r="K215" s="101"/>
      <c r="L215" s="101"/>
      <c r="M215" s="101"/>
      <c r="N215" s="101"/>
      <c r="O215" s="101"/>
      <c r="P215" s="101">
        <f t="shared" si="55"/>
        <v>2264</v>
      </c>
      <c r="Q215" s="101">
        <f t="shared" si="56"/>
        <v>75.466666666666669</v>
      </c>
      <c r="R215" s="101">
        <f t="shared" si="57"/>
        <v>75.466666666666669</v>
      </c>
    </row>
    <row r="216" spans="2:18">
      <c r="B216" s="3" t="s">
        <v>250</v>
      </c>
      <c r="C216" s="2"/>
      <c r="D216" s="111">
        <v>30000</v>
      </c>
      <c r="E216" s="101">
        <v>30000</v>
      </c>
      <c r="F216" s="101">
        <v>398</v>
      </c>
      <c r="G216" s="101"/>
      <c r="H216" s="101"/>
      <c r="I216" s="101"/>
      <c r="J216" s="101"/>
      <c r="K216" s="101"/>
      <c r="L216" s="101"/>
      <c r="M216" s="101"/>
      <c r="N216" s="101"/>
      <c r="O216" s="101"/>
      <c r="P216" s="101">
        <f t="shared" si="55"/>
        <v>398</v>
      </c>
      <c r="Q216" s="101">
        <f t="shared" si="56"/>
        <v>1.3266666666666667</v>
      </c>
      <c r="R216" s="101">
        <f t="shared" si="57"/>
        <v>1.3266666666666667</v>
      </c>
    </row>
    <row r="217" spans="2:18">
      <c r="B217" s="3" t="s">
        <v>251</v>
      </c>
      <c r="C217" s="2"/>
      <c r="D217" s="111">
        <v>40000</v>
      </c>
      <c r="E217" s="101">
        <v>40000</v>
      </c>
      <c r="F217" s="101">
        <v>0</v>
      </c>
      <c r="G217" s="101"/>
      <c r="H217" s="101"/>
      <c r="I217" s="101"/>
      <c r="J217" s="101"/>
      <c r="K217" s="101"/>
      <c r="L217" s="101"/>
      <c r="M217" s="101"/>
      <c r="N217" s="101"/>
      <c r="O217" s="101"/>
      <c r="P217" s="101">
        <f t="shared" si="55"/>
        <v>0</v>
      </c>
      <c r="Q217" s="101">
        <f t="shared" si="56"/>
        <v>0</v>
      </c>
      <c r="R217" s="101">
        <f t="shared" si="57"/>
        <v>0</v>
      </c>
    </row>
    <row r="218" spans="2:18" hidden="1">
      <c r="B218" s="3" t="s">
        <v>252</v>
      </c>
      <c r="C218" s="2"/>
      <c r="D218" s="11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>
        <f t="shared" si="55"/>
        <v>0</v>
      </c>
      <c r="Q218" s="101" t="e">
        <f t="shared" si="56"/>
        <v>#DIV/0!</v>
      </c>
      <c r="R218" s="101" t="e">
        <f t="shared" si="57"/>
        <v>#DIV/0!</v>
      </c>
    </row>
    <row r="219" spans="2:18" hidden="1">
      <c r="B219" s="3" t="s">
        <v>253</v>
      </c>
      <c r="C219" s="2"/>
      <c r="D219" s="11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>
        <f t="shared" si="55"/>
        <v>0</v>
      </c>
      <c r="Q219" s="101" t="e">
        <f t="shared" si="56"/>
        <v>#DIV/0!</v>
      </c>
      <c r="R219" s="101" t="e">
        <f t="shared" si="57"/>
        <v>#DIV/0!</v>
      </c>
    </row>
    <row r="220" spans="2:18">
      <c r="B220" s="3" t="s">
        <v>243</v>
      </c>
      <c r="C220" s="2"/>
      <c r="D220" s="111">
        <v>5000</v>
      </c>
      <c r="E220" s="101">
        <v>5000</v>
      </c>
      <c r="F220" s="101">
        <v>232</v>
      </c>
      <c r="G220" s="101"/>
      <c r="H220" s="101"/>
      <c r="I220" s="101"/>
      <c r="J220" s="101"/>
      <c r="K220" s="101"/>
      <c r="L220" s="101"/>
      <c r="M220" s="101"/>
      <c r="N220" s="101"/>
      <c r="O220" s="101"/>
      <c r="P220" s="101">
        <f t="shared" si="55"/>
        <v>232</v>
      </c>
      <c r="Q220" s="101">
        <f t="shared" si="56"/>
        <v>4.6399999999999997</v>
      </c>
      <c r="R220" s="101">
        <f t="shared" si="57"/>
        <v>4.6399999999999997</v>
      </c>
    </row>
    <row r="221" spans="2:18">
      <c r="B221" s="4" t="s">
        <v>424</v>
      </c>
      <c r="C221" s="2"/>
      <c r="D221" s="111">
        <v>30000</v>
      </c>
      <c r="E221" s="101">
        <v>30000</v>
      </c>
      <c r="F221" s="101">
        <v>3675</v>
      </c>
      <c r="G221" s="101"/>
      <c r="H221" s="101"/>
      <c r="I221" s="101"/>
      <c r="J221" s="101"/>
      <c r="K221" s="101"/>
      <c r="L221" s="101"/>
      <c r="M221" s="101"/>
      <c r="N221" s="101"/>
      <c r="O221" s="101"/>
      <c r="P221" s="101">
        <f t="shared" si="55"/>
        <v>3675</v>
      </c>
      <c r="Q221" s="101">
        <f t="shared" si="56"/>
        <v>12.25</v>
      </c>
      <c r="R221" s="101">
        <f t="shared" si="57"/>
        <v>12.25</v>
      </c>
    </row>
    <row r="222" spans="2:18">
      <c r="B222" s="4" t="s">
        <v>507</v>
      </c>
      <c r="C222" s="2"/>
      <c r="D222" s="111">
        <v>100000</v>
      </c>
      <c r="E222" s="101">
        <v>100000</v>
      </c>
      <c r="F222" s="101">
        <v>0</v>
      </c>
      <c r="G222" s="101"/>
      <c r="H222" s="101"/>
      <c r="I222" s="101"/>
      <c r="J222" s="101"/>
      <c r="K222" s="101"/>
      <c r="L222" s="101"/>
      <c r="M222" s="101"/>
      <c r="N222" s="101"/>
      <c r="O222" s="101"/>
      <c r="P222" s="101">
        <f t="shared" si="55"/>
        <v>0</v>
      </c>
      <c r="Q222" s="101">
        <f t="shared" si="56"/>
        <v>0</v>
      </c>
      <c r="R222" s="101">
        <f t="shared" si="57"/>
        <v>0</v>
      </c>
    </row>
    <row r="223" spans="2:18">
      <c r="B223" s="224"/>
      <c r="C223" s="2"/>
      <c r="D223" s="213">
        <f>SUM(D192:D222)</f>
        <v>3545000</v>
      </c>
      <c r="E223" s="213">
        <f>SUM(E192:E222)</f>
        <v>3545000</v>
      </c>
      <c r="F223" s="213">
        <f>SUM(F192:F222)</f>
        <v>492615.81000000006</v>
      </c>
      <c r="G223" s="213">
        <f t="shared" ref="G223:O223" si="58">SUM(G192:G221)</f>
        <v>0</v>
      </c>
      <c r="H223" s="213">
        <f t="shared" si="58"/>
        <v>0</v>
      </c>
      <c r="I223" s="213">
        <f t="shared" si="58"/>
        <v>0</v>
      </c>
      <c r="J223" s="213">
        <f t="shared" si="58"/>
        <v>0</v>
      </c>
      <c r="K223" s="213">
        <f t="shared" si="58"/>
        <v>0</v>
      </c>
      <c r="L223" s="213">
        <f t="shared" si="58"/>
        <v>0</v>
      </c>
      <c r="M223" s="213">
        <f t="shared" si="58"/>
        <v>0</v>
      </c>
      <c r="N223" s="213">
        <f t="shared" si="58"/>
        <v>0</v>
      </c>
      <c r="O223" s="213">
        <f t="shared" si="58"/>
        <v>0</v>
      </c>
      <c r="P223" s="213">
        <f>SUM(P192:P222)</f>
        <v>492615.81000000006</v>
      </c>
      <c r="Q223" s="213">
        <f>(P223/D223)*100</f>
        <v>13.896073624823696</v>
      </c>
      <c r="R223" s="213">
        <f>(P223/E223)*100</f>
        <v>13.896073624823696</v>
      </c>
    </row>
    <row r="224" spans="2:18">
      <c r="B224" s="225"/>
      <c r="C224" s="2"/>
    </row>
    <row r="225" spans="1:18">
      <c r="A225" s="12" t="s">
        <v>156</v>
      </c>
      <c r="B225" s="240" t="s">
        <v>13</v>
      </c>
      <c r="C225" s="2"/>
    </row>
    <row r="226" spans="1:18">
      <c r="A226" s="12" t="s">
        <v>254</v>
      </c>
      <c r="B226" s="3" t="s">
        <v>169</v>
      </c>
      <c r="C226" s="2"/>
      <c r="D226" s="111">
        <v>5000</v>
      </c>
      <c r="E226" s="230">
        <v>5000</v>
      </c>
      <c r="F226" s="101">
        <v>0</v>
      </c>
      <c r="G226" s="101"/>
      <c r="H226" s="101"/>
      <c r="I226" s="101"/>
      <c r="J226" s="101"/>
      <c r="K226" s="101"/>
      <c r="L226" s="101"/>
      <c r="M226" s="101"/>
      <c r="N226" s="101"/>
      <c r="O226" s="101"/>
      <c r="P226" s="101">
        <f>SUM(F226:O226)</f>
        <v>0</v>
      </c>
      <c r="Q226" s="101">
        <f t="shared" ref="Q226" si="59">(P226/D226)*100</f>
        <v>0</v>
      </c>
      <c r="R226" s="101">
        <f t="shared" ref="R226" si="60">(P226/E226)*100</f>
        <v>0</v>
      </c>
    </row>
    <row r="227" spans="1:18">
      <c r="B227" s="3" t="s">
        <v>185</v>
      </c>
      <c r="C227" s="2"/>
      <c r="D227" s="111">
        <v>4000</v>
      </c>
      <c r="E227" s="230">
        <v>4000</v>
      </c>
      <c r="F227" s="101">
        <v>0</v>
      </c>
      <c r="G227" s="101"/>
      <c r="H227" s="101"/>
      <c r="I227" s="101"/>
      <c r="J227" s="101"/>
      <c r="K227" s="101"/>
      <c r="L227" s="101"/>
      <c r="M227" s="101"/>
      <c r="N227" s="101"/>
      <c r="O227" s="101"/>
      <c r="P227" s="101">
        <f t="shared" ref="P227:P232" si="61">SUM(F227:O227)</f>
        <v>0</v>
      </c>
      <c r="Q227" s="101">
        <f t="shared" ref="Q227:Q232" si="62">(P227/D227)*100</f>
        <v>0</v>
      </c>
      <c r="R227" s="101">
        <f t="shared" ref="R227:R232" si="63">(P227/E227)*100</f>
        <v>0</v>
      </c>
    </row>
    <row r="228" spans="1:18">
      <c r="B228" s="11" t="s">
        <v>531</v>
      </c>
      <c r="C228" s="2"/>
      <c r="D228" s="111">
        <v>40000</v>
      </c>
      <c r="E228" s="230">
        <v>40000</v>
      </c>
      <c r="F228" s="101">
        <v>3800</v>
      </c>
      <c r="G228" s="101"/>
      <c r="H228" s="101"/>
      <c r="I228" s="101"/>
      <c r="J228" s="101"/>
      <c r="K228" s="101"/>
      <c r="L228" s="101"/>
      <c r="M228" s="101"/>
      <c r="N228" s="101"/>
      <c r="O228" s="101"/>
      <c r="P228" s="101">
        <f t="shared" si="61"/>
        <v>3800</v>
      </c>
      <c r="Q228" s="101">
        <f t="shared" si="62"/>
        <v>9.5</v>
      </c>
      <c r="R228" s="101">
        <f t="shared" si="63"/>
        <v>9.5</v>
      </c>
    </row>
    <row r="229" spans="1:18">
      <c r="B229" s="3" t="s">
        <v>181</v>
      </c>
      <c r="C229" s="2"/>
      <c r="D229" s="111">
        <v>35000</v>
      </c>
      <c r="E229" s="230">
        <v>35000</v>
      </c>
      <c r="F229" s="101">
        <v>6390</v>
      </c>
      <c r="G229" s="101"/>
      <c r="H229" s="101"/>
      <c r="I229" s="101"/>
      <c r="J229" s="101"/>
      <c r="K229" s="101"/>
      <c r="L229" s="101"/>
      <c r="M229" s="101"/>
      <c r="N229" s="101"/>
      <c r="O229" s="101"/>
      <c r="P229" s="101">
        <f t="shared" si="61"/>
        <v>6390</v>
      </c>
      <c r="Q229" s="101">
        <f t="shared" si="62"/>
        <v>18.257142857142856</v>
      </c>
      <c r="R229" s="101">
        <f t="shared" si="63"/>
        <v>18.257142857142856</v>
      </c>
    </row>
    <row r="230" spans="1:18">
      <c r="B230" s="3" t="s">
        <v>247</v>
      </c>
      <c r="C230" s="2"/>
      <c r="D230" s="111">
        <v>10000</v>
      </c>
      <c r="E230" s="230">
        <v>10000</v>
      </c>
      <c r="F230" s="101">
        <v>4537.9399999999996</v>
      </c>
      <c r="G230" s="101"/>
      <c r="H230" s="101"/>
      <c r="I230" s="101"/>
      <c r="J230" s="101"/>
      <c r="K230" s="101"/>
      <c r="L230" s="101"/>
      <c r="M230" s="101"/>
      <c r="N230" s="101"/>
      <c r="O230" s="101"/>
      <c r="P230" s="101">
        <f t="shared" si="61"/>
        <v>4537.9399999999996</v>
      </c>
      <c r="Q230" s="101">
        <f t="shared" si="62"/>
        <v>45.379399999999997</v>
      </c>
      <c r="R230" s="101">
        <f t="shared" si="63"/>
        <v>45.379399999999997</v>
      </c>
    </row>
    <row r="231" spans="1:18">
      <c r="B231" s="3" t="s">
        <v>248</v>
      </c>
      <c r="C231" s="2"/>
      <c r="D231" s="111">
        <v>4000</v>
      </c>
      <c r="E231" s="230">
        <v>4000</v>
      </c>
      <c r="F231" s="101">
        <v>0</v>
      </c>
      <c r="G231" s="101"/>
      <c r="H231" s="101"/>
      <c r="I231" s="101"/>
      <c r="J231" s="101"/>
      <c r="K231" s="101"/>
      <c r="L231" s="101"/>
      <c r="M231" s="101"/>
      <c r="N231" s="101"/>
      <c r="O231" s="101"/>
      <c r="P231" s="101">
        <f t="shared" si="61"/>
        <v>0</v>
      </c>
      <c r="Q231" s="101">
        <f t="shared" si="62"/>
        <v>0</v>
      </c>
      <c r="R231" s="101">
        <f t="shared" si="63"/>
        <v>0</v>
      </c>
    </row>
    <row r="232" spans="1:18">
      <c r="B232" s="3" t="s">
        <v>160</v>
      </c>
      <c r="C232" s="2"/>
      <c r="D232" s="111">
        <v>7000</v>
      </c>
      <c r="E232" s="230">
        <v>7000</v>
      </c>
      <c r="F232" s="101">
        <v>0</v>
      </c>
      <c r="G232" s="101"/>
      <c r="H232" s="101"/>
      <c r="I232" s="101"/>
      <c r="J232" s="101"/>
      <c r="K232" s="101"/>
      <c r="L232" s="101"/>
      <c r="M232" s="101"/>
      <c r="N232" s="101"/>
      <c r="O232" s="101"/>
      <c r="P232" s="101">
        <f t="shared" si="61"/>
        <v>0</v>
      </c>
      <c r="Q232" s="101">
        <f t="shared" si="62"/>
        <v>0</v>
      </c>
      <c r="R232" s="101">
        <f t="shared" si="63"/>
        <v>0</v>
      </c>
    </row>
    <row r="233" spans="1:18">
      <c r="B233" s="224"/>
      <c r="C233" s="2"/>
      <c r="D233" s="213">
        <f>SUM(D226:D232)</f>
        <v>105000</v>
      </c>
      <c r="E233" s="213">
        <f t="shared" ref="E233:P233" si="64">SUM(E226:E232)</f>
        <v>105000</v>
      </c>
      <c r="F233" s="213">
        <f t="shared" si="64"/>
        <v>14727.939999999999</v>
      </c>
      <c r="G233" s="213">
        <f t="shared" si="64"/>
        <v>0</v>
      </c>
      <c r="H233" s="213">
        <f t="shared" si="64"/>
        <v>0</v>
      </c>
      <c r="I233" s="213">
        <f t="shared" si="64"/>
        <v>0</v>
      </c>
      <c r="J233" s="213">
        <f t="shared" si="64"/>
        <v>0</v>
      </c>
      <c r="K233" s="213">
        <f t="shared" si="64"/>
        <v>0</v>
      </c>
      <c r="L233" s="213">
        <f t="shared" si="64"/>
        <v>0</v>
      </c>
      <c r="M233" s="213">
        <f t="shared" si="64"/>
        <v>0</v>
      </c>
      <c r="N233" s="213">
        <f t="shared" si="64"/>
        <v>0</v>
      </c>
      <c r="O233" s="213">
        <f t="shared" si="64"/>
        <v>0</v>
      </c>
      <c r="P233" s="213">
        <f t="shared" si="64"/>
        <v>14727.939999999999</v>
      </c>
      <c r="Q233" s="213">
        <f>(P233/D233)*100</f>
        <v>14.026609523809523</v>
      </c>
      <c r="R233" s="213">
        <f>(P233/E233)*100</f>
        <v>14.026609523809523</v>
      </c>
    </row>
    <row r="234" spans="1:18">
      <c r="B234" s="225"/>
      <c r="C234" s="2"/>
    </row>
    <row r="235" spans="1:18">
      <c r="A235" s="12" t="s">
        <v>156</v>
      </c>
      <c r="B235" s="240" t="s">
        <v>14</v>
      </c>
      <c r="C235" s="2"/>
    </row>
    <row r="236" spans="1:18">
      <c r="A236" s="12" t="s">
        <v>256</v>
      </c>
      <c r="B236" s="3" t="s">
        <v>169</v>
      </c>
      <c r="C236" s="2"/>
      <c r="D236" s="111">
        <v>5000</v>
      </c>
      <c r="E236" s="230">
        <v>5000</v>
      </c>
      <c r="F236" s="101">
        <v>0</v>
      </c>
      <c r="G236" s="101"/>
      <c r="H236" s="101"/>
      <c r="I236" s="101"/>
      <c r="J236" s="101"/>
      <c r="K236" s="101"/>
      <c r="L236" s="101"/>
      <c r="M236" s="101"/>
      <c r="N236" s="101"/>
      <c r="O236" s="101"/>
      <c r="P236" s="101">
        <f>SUM(F236:O236)</f>
        <v>0</v>
      </c>
      <c r="Q236" s="101">
        <f t="shared" ref="Q236" si="65">(P236/D236)*100</f>
        <v>0</v>
      </c>
      <c r="R236" s="101">
        <f t="shared" ref="R236" si="66">(P236/E236)*100</f>
        <v>0</v>
      </c>
    </row>
    <row r="237" spans="1:18">
      <c r="A237" s="12"/>
      <c r="B237" s="3" t="s">
        <v>160</v>
      </c>
      <c r="C237" s="2"/>
      <c r="D237" s="111">
        <v>32000</v>
      </c>
      <c r="E237" s="230">
        <v>32000</v>
      </c>
      <c r="F237" s="101">
        <v>0</v>
      </c>
      <c r="G237" s="101"/>
      <c r="H237" s="101"/>
      <c r="I237" s="101"/>
      <c r="J237" s="101"/>
      <c r="K237" s="101"/>
      <c r="L237" s="101"/>
      <c r="M237" s="101"/>
      <c r="N237" s="101"/>
      <c r="O237" s="101"/>
      <c r="P237" s="101">
        <f t="shared" ref="P237:P238" si="67">SUM(F237:O237)</f>
        <v>0</v>
      </c>
      <c r="Q237" s="101">
        <f t="shared" ref="Q237:Q238" si="68">(P237/D237)*100</f>
        <v>0</v>
      </c>
      <c r="R237" s="101">
        <f t="shared" ref="R237:R238" si="69">(P237/E237)*100</f>
        <v>0</v>
      </c>
    </row>
    <row r="238" spans="1:18">
      <c r="A238" s="12"/>
      <c r="B238" s="4" t="s">
        <v>250</v>
      </c>
      <c r="C238" s="2"/>
      <c r="D238" s="111">
        <v>13000</v>
      </c>
      <c r="E238" s="230">
        <v>13000</v>
      </c>
      <c r="F238" s="101">
        <v>0</v>
      </c>
      <c r="G238" s="101"/>
      <c r="H238" s="101"/>
      <c r="I238" s="101"/>
      <c r="J238" s="101"/>
      <c r="K238" s="101"/>
      <c r="L238" s="101"/>
      <c r="M238" s="101"/>
      <c r="N238" s="101"/>
      <c r="O238" s="101"/>
      <c r="P238" s="101">
        <f t="shared" si="67"/>
        <v>0</v>
      </c>
      <c r="Q238" s="101">
        <f t="shared" si="68"/>
        <v>0</v>
      </c>
      <c r="R238" s="101">
        <f t="shared" si="69"/>
        <v>0</v>
      </c>
    </row>
    <row r="239" spans="1:18">
      <c r="B239" s="226"/>
      <c r="C239" s="2"/>
      <c r="D239" s="213">
        <f>SUM(D236:D238)</f>
        <v>50000</v>
      </c>
      <c r="E239" s="213">
        <f t="shared" ref="E239:P239" si="70">SUM(E236:E238)</f>
        <v>50000</v>
      </c>
      <c r="F239" s="213">
        <f t="shared" si="70"/>
        <v>0</v>
      </c>
      <c r="G239" s="213">
        <f t="shared" si="70"/>
        <v>0</v>
      </c>
      <c r="H239" s="213">
        <f t="shared" si="70"/>
        <v>0</v>
      </c>
      <c r="I239" s="213">
        <f t="shared" si="70"/>
        <v>0</v>
      </c>
      <c r="J239" s="213">
        <f t="shared" si="70"/>
        <v>0</v>
      </c>
      <c r="K239" s="213">
        <f t="shared" si="70"/>
        <v>0</v>
      </c>
      <c r="L239" s="213">
        <f t="shared" si="70"/>
        <v>0</v>
      </c>
      <c r="M239" s="213">
        <f t="shared" si="70"/>
        <v>0</v>
      </c>
      <c r="N239" s="213">
        <f t="shared" si="70"/>
        <v>0</v>
      </c>
      <c r="O239" s="213">
        <f t="shared" si="70"/>
        <v>0</v>
      </c>
      <c r="P239" s="213">
        <f t="shared" si="70"/>
        <v>0</v>
      </c>
      <c r="Q239" s="213">
        <f>(P239/D239)*100</f>
        <v>0</v>
      </c>
      <c r="R239" s="213">
        <f>(P239/E239)*100</f>
        <v>0</v>
      </c>
    </row>
    <row r="240" spans="1:18">
      <c r="B240" s="226"/>
      <c r="C240" s="2"/>
    </row>
    <row r="241" spans="1:18">
      <c r="A241" s="12" t="s">
        <v>156</v>
      </c>
      <c r="B241" s="240" t="s">
        <v>425</v>
      </c>
      <c r="C241" s="2"/>
    </row>
    <row r="242" spans="1:18">
      <c r="A242" s="13" t="s">
        <v>483</v>
      </c>
      <c r="B242" s="3" t="s">
        <v>169</v>
      </c>
      <c r="C242" s="2"/>
      <c r="D242" s="111">
        <v>15000</v>
      </c>
      <c r="E242" s="230">
        <v>15000</v>
      </c>
      <c r="F242" s="101">
        <v>0</v>
      </c>
      <c r="G242" s="101"/>
      <c r="H242" s="101"/>
      <c r="I242" s="101"/>
      <c r="J242" s="101"/>
      <c r="K242" s="101"/>
      <c r="L242" s="101"/>
      <c r="M242" s="101"/>
      <c r="N242" s="101"/>
      <c r="O242" s="101"/>
      <c r="P242" s="101">
        <f>SUM(F242:O242)</f>
        <v>0</v>
      </c>
      <c r="Q242" s="101">
        <f t="shared" ref="Q242" si="71">(P242/D242)*100</f>
        <v>0</v>
      </c>
      <c r="R242" s="101">
        <f t="shared" ref="R242" si="72">(P242/E242)*100</f>
        <v>0</v>
      </c>
    </row>
    <row r="243" spans="1:18">
      <c r="A243" s="13"/>
      <c r="B243" s="3" t="s">
        <v>181</v>
      </c>
      <c r="C243" s="2"/>
      <c r="D243" s="111">
        <v>5000</v>
      </c>
      <c r="E243" s="230">
        <v>5000</v>
      </c>
      <c r="F243" s="101">
        <v>0</v>
      </c>
      <c r="G243" s="101"/>
      <c r="H243" s="101"/>
      <c r="I243" s="101"/>
      <c r="J243" s="101"/>
      <c r="K243" s="101"/>
      <c r="L243" s="101"/>
      <c r="M243" s="101"/>
      <c r="N243" s="101"/>
      <c r="O243" s="101"/>
      <c r="P243" s="101">
        <f t="shared" ref="P243:P246" si="73">SUM(F243:O243)</f>
        <v>0</v>
      </c>
      <c r="Q243" s="101">
        <f t="shared" ref="Q243:Q246" si="74">(P243/D243)*100</f>
        <v>0</v>
      </c>
      <c r="R243" s="101">
        <f t="shared" ref="R243:R246" si="75">(P243/E243)*100</f>
        <v>0</v>
      </c>
    </row>
    <row r="244" spans="1:18">
      <c r="B244" s="3" t="s">
        <v>160</v>
      </c>
      <c r="C244" s="2"/>
      <c r="D244" s="111">
        <v>400000</v>
      </c>
      <c r="E244" s="230">
        <v>400000</v>
      </c>
      <c r="F244" s="101">
        <v>42241.7</v>
      </c>
      <c r="G244" s="101"/>
      <c r="H244" s="101"/>
      <c r="I244" s="101"/>
      <c r="J244" s="101"/>
      <c r="K244" s="101"/>
      <c r="L244" s="101"/>
      <c r="M244" s="101"/>
      <c r="N244" s="101"/>
      <c r="O244" s="101"/>
      <c r="P244" s="101">
        <f t="shared" si="73"/>
        <v>42241.7</v>
      </c>
      <c r="Q244" s="101">
        <f t="shared" si="74"/>
        <v>10.560425</v>
      </c>
      <c r="R244" s="101">
        <f t="shared" si="75"/>
        <v>10.560425</v>
      </c>
    </row>
    <row r="245" spans="1:18">
      <c r="B245" s="3" t="s">
        <v>250</v>
      </c>
      <c r="C245" s="2"/>
      <c r="D245" s="111">
        <v>10000</v>
      </c>
      <c r="E245" s="230">
        <v>10000</v>
      </c>
      <c r="F245" s="101">
        <v>0</v>
      </c>
      <c r="G245" s="101"/>
      <c r="H245" s="101"/>
      <c r="I245" s="101"/>
      <c r="J245" s="101"/>
      <c r="K245" s="101"/>
      <c r="L245" s="101"/>
      <c r="M245" s="101"/>
      <c r="N245" s="101"/>
      <c r="O245" s="101"/>
      <c r="P245" s="101">
        <f t="shared" si="73"/>
        <v>0</v>
      </c>
      <c r="Q245" s="101">
        <f t="shared" si="74"/>
        <v>0</v>
      </c>
      <c r="R245" s="101">
        <f t="shared" si="75"/>
        <v>0</v>
      </c>
    </row>
    <row r="246" spans="1:18" hidden="1">
      <c r="B246" s="3" t="s">
        <v>253</v>
      </c>
      <c r="C246" s="2"/>
      <c r="D246" s="11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>
        <f t="shared" si="73"/>
        <v>0</v>
      </c>
      <c r="Q246" s="101" t="e">
        <f t="shared" si="74"/>
        <v>#DIV/0!</v>
      </c>
      <c r="R246" s="101" t="e">
        <f t="shared" si="75"/>
        <v>#DIV/0!</v>
      </c>
    </row>
    <row r="247" spans="1:18">
      <c r="B247" s="226"/>
      <c r="C247" s="2"/>
      <c r="D247" s="213">
        <f>SUM(D242:D246)</f>
        <v>430000</v>
      </c>
      <c r="E247" s="213">
        <f t="shared" ref="E247:P247" si="76">SUM(E242:E246)</f>
        <v>430000</v>
      </c>
      <c r="F247" s="213">
        <f t="shared" si="76"/>
        <v>42241.7</v>
      </c>
      <c r="G247" s="213">
        <f t="shared" si="76"/>
        <v>0</v>
      </c>
      <c r="H247" s="213">
        <f t="shared" si="76"/>
        <v>0</v>
      </c>
      <c r="I247" s="213">
        <f t="shared" si="76"/>
        <v>0</v>
      </c>
      <c r="J247" s="213">
        <f t="shared" si="76"/>
        <v>0</v>
      </c>
      <c r="K247" s="213">
        <f t="shared" si="76"/>
        <v>0</v>
      </c>
      <c r="L247" s="213">
        <f t="shared" si="76"/>
        <v>0</v>
      </c>
      <c r="M247" s="213">
        <f t="shared" si="76"/>
        <v>0</v>
      </c>
      <c r="N247" s="213">
        <f t="shared" si="76"/>
        <v>0</v>
      </c>
      <c r="O247" s="213">
        <f t="shared" si="76"/>
        <v>0</v>
      </c>
      <c r="P247" s="213">
        <f t="shared" si="76"/>
        <v>42241.7</v>
      </c>
      <c r="Q247" s="213">
        <f>(P247/D247)*100</f>
        <v>9.8236511627906982</v>
      </c>
      <c r="R247" s="213">
        <f>(P247/E247)*100</f>
        <v>9.8236511627906982</v>
      </c>
    </row>
    <row r="248" spans="1:18">
      <c r="B248" s="226"/>
      <c r="C248" s="2"/>
      <c r="D248" s="214"/>
    </row>
    <row r="249" spans="1:18">
      <c r="A249" s="12" t="s">
        <v>156</v>
      </c>
      <c r="B249" s="240" t="s">
        <v>257</v>
      </c>
      <c r="C249" s="2"/>
      <c r="D249" s="214"/>
    </row>
    <row r="250" spans="1:18">
      <c r="A250" s="13" t="s">
        <v>331</v>
      </c>
      <c r="B250" s="3" t="s">
        <v>169</v>
      </c>
      <c r="C250" s="2"/>
      <c r="D250" s="111">
        <v>200000</v>
      </c>
      <c r="E250" s="101">
        <v>200000</v>
      </c>
      <c r="F250" s="101">
        <v>0</v>
      </c>
      <c r="G250" s="101"/>
      <c r="H250" s="101"/>
      <c r="I250" s="101"/>
      <c r="J250" s="101"/>
      <c r="K250" s="101"/>
      <c r="L250" s="101"/>
      <c r="M250" s="101"/>
      <c r="N250" s="101"/>
      <c r="O250" s="101"/>
      <c r="P250" s="101">
        <f>SUM(F250:O250)</f>
        <v>0</v>
      </c>
      <c r="Q250" s="101">
        <f t="shared" ref="Q250" si="77">(P250/D250)*100</f>
        <v>0</v>
      </c>
      <c r="R250" s="101">
        <f t="shared" ref="R250" si="78">(P250/E250)*100</f>
        <v>0</v>
      </c>
    </row>
    <row r="251" spans="1:18">
      <c r="A251" s="13"/>
      <c r="B251" s="4" t="s">
        <v>339</v>
      </c>
      <c r="C251" s="2"/>
      <c r="D251" s="111">
        <v>200000</v>
      </c>
      <c r="E251" s="101">
        <v>200000</v>
      </c>
      <c r="F251" s="101">
        <v>24999.99</v>
      </c>
      <c r="G251" s="101"/>
      <c r="H251" s="101"/>
      <c r="I251" s="101"/>
      <c r="J251" s="101"/>
      <c r="K251" s="101"/>
      <c r="L251" s="101"/>
      <c r="M251" s="101"/>
      <c r="N251" s="101"/>
      <c r="O251" s="101"/>
      <c r="P251" s="101">
        <f t="shared" ref="P251" si="79">SUM(F251:O251)</f>
        <v>24999.99</v>
      </c>
      <c r="Q251" s="101">
        <f t="shared" ref="Q251" si="80">(P251/D251)*100</f>
        <v>12.499995000000002</v>
      </c>
      <c r="R251" s="101">
        <f t="shared" ref="R251" si="81">(P251/E251)*100</f>
        <v>12.499995000000002</v>
      </c>
    </row>
    <row r="252" spans="1:18">
      <c r="B252" s="226"/>
      <c r="C252" s="2"/>
      <c r="D252" s="213">
        <f t="shared" ref="D252:P252" si="82">SUM(D250:D251)</f>
        <v>400000</v>
      </c>
      <c r="E252" s="213">
        <f t="shared" si="82"/>
        <v>400000</v>
      </c>
      <c r="F252" s="213">
        <f t="shared" si="82"/>
        <v>24999.99</v>
      </c>
      <c r="G252" s="213">
        <f t="shared" si="82"/>
        <v>0</v>
      </c>
      <c r="H252" s="213">
        <f t="shared" si="82"/>
        <v>0</v>
      </c>
      <c r="I252" s="213">
        <f t="shared" si="82"/>
        <v>0</v>
      </c>
      <c r="J252" s="213">
        <f t="shared" si="82"/>
        <v>0</v>
      </c>
      <c r="K252" s="213">
        <f t="shared" si="82"/>
        <v>0</v>
      </c>
      <c r="L252" s="213">
        <f t="shared" si="82"/>
        <v>0</v>
      </c>
      <c r="M252" s="213">
        <f t="shared" si="82"/>
        <v>0</v>
      </c>
      <c r="N252" s="213">
        <f t="shared" si="82"/>
        <v>0</v>
      </c>
      <c r="O252" s="213">
        <f t="shared" si="82"/>
        <v>0</v>
      </c>
      <c r="P252" s="213">
        <f t="shared" si="82"/>
        <v>24999.99</v>
      </c>
      <c r="Q252" s="213">
        <f>(P252/D252)*100</f>
        <v>6.249997500000001</v>
      </c>
      <c r="R252" s="213">
        <f>(P252/E252)*100</f>
        <v>6.249997500000001</v>
      </c>
    </row>
    <row r="253" spans="1:18">
      <c r="B253" s="226"/>
      <c r="C253" s="2"/>
      <c r="D253" s="214"/>
    </row>
    <row r="254" spans="1:18">
      <c r="A254" s="12" t="s">
        <v>156</v>
      </c>
      <c r="B254" s="240" t="s">
        <v>258</v>
      </c>
      <c r="C254" s="2"/>
    </row>
    <row r="255" spans="1:18">
      <c r="A255" s="13" t="s">
        <v>332</v>
      </c>
      <c r="B255" s="4" t="s">
        <v>348</v>
      </c>
      <c r="C255" s="2"/>
      <c r="D255" s="111">
        <v>70000</v>
      </c>
      <c r="E255" s="101">
        <v>70000</v>
      </c>
      <c r="F255" s="101">
        <v>0</v>
      </c>
      <c r="G255" s="101"/>
      <c r="H255" s="101"/>
      <c r="I255" s="101"/>
      <c r="J255" s="101"/>
      <c r="K255" s="101"/>
      <c r="L255" s="101"/>
      <c r="M255" s="101"/>
      <c r="N255" s="101"/>
      <c r="O255" s="101"/>
      <c r="P255" s="101">
        <f>SUM(F255:O255)</f>
        <v>0</v>
      </c>
      <c r="Q255" s="101">
        <f t="shared" ref="Q255" si="83">(P255/D255)*100</f>
        <v>0</v>
      </c>
      <c r="R255" s="101">
        <f t="shared" ref="R255" si="84">(P255/E255)*100</f>
        <v>0</v>
      </c>
    </row>
    <row r="256" spans="1:18">
      <c r="B256" s="226"/>
      <c r="C256" s="2"/>
      <c r="D256" s="213">
        <f>SUM(D255)</f>
        <v>70000</v>
      </c>
      <c r="E256" s="213">
        <f t="shared" ref="E256:P256" si="85">SUM(E255)</f>
        <v>70000</v>
      </c>
      <c r="F256" s="213">
        <f t="shared" si="85"/>
        <v>0</v>
      </c>
      <c r="G256" s="213">
        <f t="shared" si="85"/>
        <v>0</v>
      </c>
      <c r="H256" s="213">
        <f t="shared" si="85"/>
        <v>0</v>
      </c>
      <c r="I256" s="213">
        <f t="shared" si="85"/>
        <v>0</v>
      </c>
      <c r="J256" s="213">
        <f t="shared" si="85"/>
        <v>0</v>
      </c>
      <c r="K256" s="213">
        <f t="shared" si="85"/>
        <v>0</v>
      </c>
      <c r="L256" s="213">
        <f t="shared" si="85"/>
        <v>0</v>
      </c>
      <c r="M256" s="213">
        <f t="shared" si="85"/>
        <v>0</v>
      </c>
      <c r="N256" s="213">
        <f t="shared" si="85"/>
        <v>0</v>
      </c>
      <c r="O256" s="213">
        <f t="shared" si="85"/>
        <v>0</v>
      </c>
      <c r="P256" s="213">
        <f t="shared" si="85"/>
        <v>0</v>
      </c>
      <c r="Q256" s="213">
        <f>(P256/D256)*100</f>
        <v>0</v>
      </c>
      <c r="R256" s="213">
        <f>(P256/E256)*100</f>
        <v>0</v>
      </c>
    </row>
    <row r="257" spans="1:18">
      <c r="B257" s="226"/>
      <c r="C257" s="2"/>
    </row>
    <row r="258" spans="1:18">
      <c r="B258" s="241" t="s">
        <v>3</v>
      </c>
      <c r="C258" s="2"/>
      <c r="D258" s="235">
        <f t="shared" ref="D258:P258" si="86">D256+D252+D247+D239+D233+D223</f>
        <v>4600000</v>
      </c>
      <c r="E258" s="235">
        <f t="shared" si="86"/>
        <v>4600000</v>
      </c>
      <c r="F258" s="235">
        <f t="shared" si="86"/>
        <v>574585.44000000006</v>
      </c>
      <c r="G258" s="235">
        <f t="shared" si="86"/>
        <v>0</v>
      </c>
      <c r="H258" s="235">
        <f t="shared" si="86"/>
        <v>0</v>
      </c>
      <c r="I258" s="235">
        <f t="shared" si="86"/>
        <v>0</v>
      </c>
      <c r="J258" s="235">
        <f t="shared" si="86"/>
        <v>0</v>
      </c>
      <c r="K258" s="235">
        <f t="shared" si="86"/>
        <v>0</v>
      </c>
      <c r="L258" s="235">
        <f t="shared" si="86"/>
        <v>0</v>
      </c>
      <c r="M258" s="235">
        <f t="shared" si="86"/>
        <v>0</v>
      </c>
      <c r="N258" s="235">
        <f t="shared" si="86"/>
        <v>0</v>
      </c>
      <c r="O258" s="235">
        <f t="shared" si="86"/>
        <v>0</v>
      </c>
      <c r="P258" s="235">
        <f t="shared" si="86"/>
        <v>574585.44000000006</v>
      </c>
      <c r="Q258" s="235">
        <f>(P258/D258)*100</f>
        <v>12.490987826086958</v>
      </c>
      <c r="R258" s="235">
        <f>(P258/E258)*100</f>
        <v>12.490987826086958</v>
      </c>
    </row>
    <row r="261" spans="1:18" ht="38.25">
      <c r="A261" s="12" t="s">
        <v>156</v>
      </c>
      <c r="B261" s="77" t="s">
        <v>427</v>
      </c>
      <c r="C261" s="2"/>
      <c r="D261" s="85" t="s">
        <v>490</v>
      </c>
      <c r="E261" s="203" t="s">
        <v>493</v>
      </c>
      <c r="F261" s="204" t="s">
        <v>492</v>
      </c>
      <c r="G261" s="204" t="s">
        <v>497</v>
      </c>
      <c r="H261" s="204" t="s">
        <v>505</v>
      </c>
      <c r="I261" s="204" t="s">
        <v>498</v>
      </c>
      <c r="J261" s="204" t="s">
        <v>499</v>
      </c>
      <c r="K261" s="204" t="s">
        <v>500</v>
      </c>
      <c r="L261" s="204" t="s">
        <v>501</v>
      </c>
      <c r="M261" s="204" t="s">
        <v>502</v>
      </c>
      <c r="N261" s="204" t="s">
        <v>503</v>
      </c>
      <c r="O261" s="204" t="s">
        <v>504</v>
      </c>
      <c r="P261" s="204" t="s">
        <v>496</v>
      </c>
      <c r="Q261" s="204" t="s">
        <v>543</v>
      </c>
      <c r="R261" s="205" t="s">
        <v>495</v>
      </c>
    </row>
    <row r="262" spans="1:18">
      <c r="A262" s="2" t="s">
        <v>426</v>
      </c>
      <c r="B262" s="3" t="s">
        <v>173</v>
      </c>
      <c r="C262" s="2"/>
      <c r="D262" s="111">
        <v>200000</v>
      </c>
      <c r="E262" s="101">
        <v>200000</v>
      </c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>
        <f>SUM(F262:O262)</f>
        <v>0</v>
      </c>
      <c r="Q262" s="101">
        <f t="shared" ref="Q262" si="87">(P262/D262)*100</f>
        <v>0</v>
      </c>
      <c r="R262" s="101">
        <f t="shared" ref="R262" si="88">(P262/E262)*100</f>
        <v>0</v>
      </c>
    </row>
    <row r="263" spans="1:18">
      <c r="B263" s="5" t="s">
        <v>3</v>
      </c>
      <c r="C263" s="2"/>
      <c r="D263" s="213">
        <f>SUM(D262)</f>
        <v>200000</v>
      </c>
      <c r="E263" s="213">
        <f t="shared" ref="E263:P263" si="89">SUM(E262)</f>
        <v>200000</v>
      </c>
      <c r="F263" s="213">
        <f t="shared" si="89"/>
        <v>0</v>
      </c>
      <c r="G263" s="213">
        <f t="shared" si="89"/>
        <v>0</v>
      </c>
      <c r="H263" s="213">
        <f t="shared" si="89"/>
        <v>0</v>
      </c>
      <c r="I263" s="213">
        <f t="shared" si="89"/>
        <v>0</v>
      </c>
      <c r="J263" s="213">
        <f t="shared" si="89"/>
        <v>0</v>
      </c>
      <c r="K263" s="213">
        <f t="shared" si="89"/>
        <v>0</v>
      </c>
      <c r="L263" s="213">
        <f t="shared" si="89"/>
        <v>0</v>
      </c>
      <c r="M263" s="213">
        <f t="shared" si="89"/>
        <v>0</v>
      </c>
      <c r="N263" s="213">
        <f t="shared" si="89"/>
        <v>0</v>
      </c>
      <c r="O263" s="213">
        <f t="shared" si="89"/>
        <v>0</v>
      </c>
      <c r="P263" s="213">
        <f t="shared" si="89"/>
        <v>0</v>
      </c>
      <c r="Q263" s="213">
        <f>(P263/D263)*100</f>
        <v>0</v>
      </c>
      <c r="R263" s="213">
        <f>(P263/E263)*100</f>
        <v>0</v>
      </c>
    </row>
    <row r="266" spans="1:18" ht="38.25">
      <c r="A266" s="12" t="s">
        <v>156</v>
      </c>
      <c r="B266" s="77" t="s">
        <v>377</v>
      </c>
      <c r="C266" s="2"/>
      <c r="D266" s="85" t="s">
        <v>490</v>
      </c>
      <c r="E266" s="203" t="s">
        <v>493</v>
      </c>
      <c r="F266" s="204" t="s">
        <v>492</v>
      </c>
      <c r="G266" s="204" t="s">
        <v>497</v>
      </c>
      <c r="H266" s="204" t="s">
        <v>505</v>
      </c>
      <c r="I266" s="204" t="s">
        <v>498</v>
      </c>
      <c r="J266" s="204" t="s">
        <v>499</v>
      </c>
      <c r="K266" s="204" t="s">
        <v>500</v>
      </c>
      <c r="L266" s="204" t="s">
        <v>501</v>
      </c>
      <c r="M266" s="204" t="s">
        <v>502</v>
      </c>
      <c r="N266" s="204" t="s">
        <v>503</v>
      </c>
      <c r="O266" s="204" t="s">
        <v>504</v>
      </c>
      <c r="P266" s="204" t="s">
        <v>496</v>
      </c>
      <c r="Q266" s="204" t="s">
        <v>543</v>
      </c>
      <c r="R266" s="205" t="s">
        <v>495</v>
      </c>
    </row>
    <row r="267" spans="1:18" ht="25.5">
      <c r="A267" s="12" t="s">
        <v>259</v>
      </c>
      <c r="B267" s="67" t="s">
        <v>260</v>
      </c>
      <c r="C267" s="2"/>
      <c r="D267" s="111">
        <v>200000</v>
      </c>
      <c r="E267" s="101">
        <v>200000</v>
      </c>
      <c r="F267" s="101">
        <v>0</v>
      </c>
      <c r="G267" s="101"/>
      <c r="H267" s="101"/>
      <c r="I267" s="101"/>
      <c r="J267" s="101"/>
      <c r="K267" s="101"/>
      <c r="L267" s="101"/>
      <c r="M267" s="101"/>
      <c r="N267" s="101"/>
      <c r="O267" s="101"/>
      <c r="P267" s="101">
        <f>SUM(F267:O267)</f>
        <v>0</v>
      </c>
      <c r="Q267" s="101">
        <f t="shared" ref="Q267" si="90">(P267/D267)*100</f>
        <v>0</v>
      </c>
      <c r="R267" s="101">
        <f t="shared" ref="R267" si="91">(P267/E267)*100</f>
        <v>0</v>
      </c>
    </row>
    <row r="268" spans="1:18">
      <c r="B268" s="5" t="s">
        <v>3</v>
      </c>
      <c r="C268" s="2"/>
      <c r="D268" s="213">
        <f>SUM(D267)</f>
        <v>200000</v>
      </c>
      <c r="E268" s="213">
        <f t="shared" ref="E268:P268" si="92">SUM(E267)</f>
        <v>200000</v>
      </c>
      <c r="F268" s="213">
        <f t="shared" si="92"/>
        <v>0</v>
      </c>
      <c r="G268" s="213">
        <f t="shared" si="92"/>
        <v>0</v>
      </c>
      <c r="H268" s="213">
        <f t="shared" si="92"/>
        <v>0</v>
      </c>
      <c r="I268" s="213">
        <f t="shared" si="92"/>
        <v>0</v>
      </c>
      <c r="J268" s="213">
        <f t="shared" si="92"/>
        <v>0</v>
      </c>
      <c r="K268" s="213">
        <f t="shared" si="92"/>
        <v>0</v>
      </c>
      <c r="L268" s="213">
        <f t="shared" si="92"/>
        <v>0</v>
      </c>
      <c r="M268" s="213">
        <f t="shared" si="92"/>
        <v>0</v>
      </c>
      <c r="N268" s="213">
        <f t="shared" si="92"/>
        <v>0</v>
      </c>
      <c r="O268" s="213">
        <f t="shared" si="92"/>
        <v>0</v>
      </c>
      <c r="P268" s="213">
        <f t="shared" si="92"/>
        <v>0</v>
      </c>
      <c r="Q268" s="213">
        <f>(P268/D268)*100</f>
        <v>0</v>
      </c>
      <c r="R268" s="213">
        <f>(P268/E268)*100</f>
        <v>0</v>
      </c>
    </row>
    <row r="271" spans="1:18" ht="38.25">
      <c r="A271" s="12" t="s">
        <v>156</v>
      </c>
      <c r="B271" s="77" t="s">
        <v>378</v>
      </c>
      <c r="C271" s="2"/>
      <c r="D271" s="85" t="s">
        <v>490</v>
      </c>
      <c r="E271" s="203" t="s">
        <v>493</v>
      </c>
      <c r="F271" s="204" t="s">
        <v>492</v>
      </c>
      <c r="G271" s="204" t="s">
        <v>497</v>
      </c>
      <c r="H271" s="204" t="s">
        <v>505</v>
      </c>
      <c r="I271" s="204" t="s">
        <v>498</v>
      </c>
      <c r="J271" s="204" t="s">
        <v>499</v>
      </c>
      <c r="K271" s="204" t="s">
        <v>500</v>
      </c>
      <c r="L271" s="204" t="s">
        <v>501</v>
      </c>
      <c r="M271" s="204" t="s">
        <v>502</v>
      </c>
      <c r="N271" s="204" t="s">
        <v>503</v>
      </c>
      <c r="O271" s="204" t="s">
        <v>504</v>
      </c>
      <c r="P271" s="204" t="s">
        <v>496</v>
      </c>
      <c r="Q271" s="204" t="s">
        <v>543</v>
      </c>
      <c r="R271" s="205" t="s">
        <v>495</v>
      </c>
    </row>
    <row r="272" spans="1:18">
      <c r="A272" s="12" t="s">
        <v>261</v>
      </c>
      <c r="B272" s="3" t="s">
        <v>262</v>
      </c>
      <c r="C272" s="2"/>
      <c r="D272" s="111">
        <v>20000</v>
      </c>
      <c r="E272" s="101">
        <v>20000</v>
      </c>
      <c r="F272" s="101">
        <v>0</v>
      </c>
      <c r="G272" s="101"/>
      <c r="H272" s="101"/>
      <c r="I272" s="101"/>
      <c r="J272" s="101"/>
      <c r="K272" s="101"/>
      <c r="L272" s="101"/>
      <c r="M272" s="101"/>
      <c r="N272" s="101"/>
      <c r="O272" s="101"/>
      <c r="P272" s="101">
        <f>SUM(F272:O272)</f>
        <v>0</v>
      </c>
      <c r="Q272" s="101">
        <f t="shared" ref="Q272:Q274" si="93">(P272/D272)*100</f>
        <v>0</v>
      </c>
      <c r="R272" s="101">
        <f t="shared" ref="R272:R274" si="94">(P272/E272)*100</f>
        <v>0</v>
      </c>
    </row>
    <row r="273" spans="1:18">
      <c r="B273" s="3" t="s">
        <v>185</v>
      </c>
      <c r="C273" s="2"/>
      <c r="D273" s="111">
        <v>20000</v>
      </c>
      <c r="E273" s="101">
        <v>20000</v>
      </c>
      <c r="F273" s="101">
        <v>0</v>
      </c>
      <c r="G273" s="101"/>
      <c r="H273" s="101"/>
      <c r="I273" s="101"/>
      <c r="J273" s="101"/>
      <c r="K273" s="101"/>
      <c r="L273" s="101"/>
      <c r="M273" s="101"/>
      <c r="N273" s="101"/>
      <c r="O273" s="101"/>
      <c r="P273" s="101">
        <f t="shared" ref="P273:P275" si="95">SUM(F273:O273)</f>
        <v>0</v>
      </c>
      <c r="Q273" s="101">
        <f t="shared" si="93"/>
        <v>0</v>
      </c>
      <c r="R273" s="101">
        <f t="shared" si="94"/>
        <v>0</v>
      </c>
    </row>
    <row r="274" spans="1:18">
      <c r="B274" s="81" t="s">
        <v>160</v>
      </c>
      <c r="C274" s="2"/>
      <c r="D274" s="111">
        <v>50000</v>
      </c>
      <c r="E274" s="101">
        <v>50000</v>
      </c>
      <c r="F274" s="101">
        <v>0</v>
      </c>
      <c r="G274" s="101"/>
      <c r="H274" s="101"/>
      <c r="I274" s="101"/>
      <c r="J274" s="101"/>
      <c r="K274" s="101"/>
      <c r="L274" s="101"/>
      <c r="M274" s="101"/>
      <c r="N274" s="101"/>
      <c r="O274" s="101"/>
      <c r="P274" s="101">
        <f t="shared" si="95"/>
        <v>0</v>
      </c>
      <c r="Q274" s="101">
        <f t="shared" si="93"/>
        <v>0</v>
      </c>
      <c r="R274" s="101">
        <f t="shared" si="94"/>
        <v>0</v>
      </c>
    </row>
    <row r="275" spans="1:18">
      <c r="B275" s="3" t="s">
        <v>173</v>
      </c>
      <c r="C275" s="2"/>
      <c r="D275" s="111">
        <v>10000</v>
      </c>
      <c r="E275" s="101">
        <v>10000</v>
      </c>
      <c r="F275" s="101">
        <v>0</v>
      </c>
      <c r="G275" s="101"/>
      <c r="H275" s="101"/>
      <c r="I275" s="101"/>
      <c r="J275" s="101"/>
      <c r="K275" s="101"/>
      <c r="L275" s="101"/>
      <c r="M275" s="101"/>
      <c r="N275" s="101"/>
      <c r="O275" s="101"/>
      <c r="P275" s="101">
        <f t="shared" si="95"/>
        <v>0</v>
      </c>
      <c r="Q275" s="101">
        <f t="shared" ref="Q275" si="96">(P275/D275)*100</f>
        <v>0</v>
      </c>
      <c r="R275" s="101">
        <f t="shared" ref="R275" si="97">(P275/E275)*100</f>
        <v>0</v>
      </c>
    </row>
    <row r="276" spans="1:18">
      <c r="B276" s="5" t="s">
        <v>3</v>
      </c>
      <c r="C276" s="2"/>
      <c r="D276" s="213">
        <f t="shared" ref="D276:P276" si="98">SUM(D272:D275)</f>
        <v>100000</v>
      </c>
      <c r="E276" s="213">
        <f t="shared" si="98"/>
        <v>100000</v>
      </c>
      <c r="F276" s="213">
        <f t="shared" si="98"/>
        <v>0</v>
      </c>
      <c r="G276" s="213">
        <f t="shared" si="98"/>
        <v>0</v>
      </c>
      <c r="H276" s="213">
        <f t="shared" si="98"/>
        <v>0</v>
      </c>
      <c r="I276" s="213">
        <f t="shared" si="98"/>
        <v>0</v>
      </c>
      <c r="J276" s="213">
        <f t="shared" si="98"/>
        <v>0</v>
      </c>
      <c r="K276" s="213">
        <f t="shared" si="98"/>
        <v>0</v>
      </c>
      <c r="L276" s="213">
        <f t="shared" si="98"/>
        <v>0</v>
      </c>
      <c r="M276" s="213">
        <f t="shared" si="98"/>
        <v>0</v>
      </c>
      <c r="N276" s="213">
        <f t="shared" si="98"/>
        <v>0</v>
      </c>
      <c r="O276" s="213">
        <f t="shared" si="98"/>
        <v>0</v>
      </c>
      <c r="P276" s="213">
        <f t="shared" si="98"/>
        <v>0</v>
      </c>
      <c r="Q276" s="213">
        <f>(P276/D276)*100</f>
        <v>0</v>
      </c>
      <c r="R276" s="213">
        <f>(P276/E276)*100</f>
        <v>0</v>
      </c>
    </row>
    <row r="279" spans="1:18" ht="38.25">
      <c r="A279" s="12" t="s">
        <v>156</v>
      </c>
      <c r="B279" s="77" t="s">
        <v>421</v>
      </c>
      <c r="C279" s="2"/>
      <c r="D279" s="85" t="s">
        <v>490</v>
      </c>
      <c r="E279" s="203" t="s">
        <v>493</v>
      </c>
      <c r="F279" s="204" t="s">
        <v>492</v>
      </c>
      <c r="G279" s="204" t="s">
        <v>497</v>
      </c>
      <c r="H279" s="204" t="s">
        <v>505</v>
      </c>
      <c r="I279" s="204" t="s">
        <v>498</v>
      </c>
      <c r="J279" s="204" t="s">
        <v>499</v>
      </c>
      <c r="K279" s="204" t="s">
        <v>500</v>
      </c>
      <c r="L279" s="204" t="s">
        <v>501</v>
      </c>
      <c r="M279" s="204" t="s">
        <v>502</v>
      </c>
      <c r="N279" s="204" t="s">
        <v>503</v>
      </c>
      <c r="O279" s="204" t="s">
        <v>504</v>
      </c>
      <c r="P279" s="204" t="s">
        <v>496</v>
      </c>
      <c r="Q279" s="204" t="s">
        <v>543</v>
      </c>
      <c r="R279" s="205" t="s">
        <v>495</v>
      </c>
    </row>
    <row r="280" spans="1:18" ht="25.5">
      <c r="A280" s="12" t="s">
        <v>265</v>
      </c>
      <c r="B280" s="74" t="s">
        <v>242</v>
      </c>
      <c r="C280" s="2"/>
      <c r="D280" s="111">
        <v>500000</v>
      </c>
      <c r="E280" s="101">
        <v>500000</v>
      </c>
      <c r="F280" s="101">
        <v>0</v>
      </c>
      <c r="G280" s="101"/>
      <c r="H280" s="101"/>
      <c r="I280" s="101"/>
      <c r="J280" s="101"/>
      <c r="K280" s="101"/>
      <c r="L280" s="101"/>
      <c r="M280" s="101"/>
      <c r="N280" s="101"/>
      <c r="O280" s="101"/>
      <c r="P280" s="101">
        <f>SUM(F280:O280)</f>
        <v>0</v>
      </c>
      <c r="Q280" s="101">
        <f t="shared" ref="Q280" si="99">(P280/D280)*100</f>
        <v>0</v>
      </c>
      <c r="R280" s="101">
        <f t="shared" ref="R280" si="100">(P280/E280)*100</f>
        <v>0</v>
      </c>
    </row>
    <row r="281" spans="1:18">
      <c r="B281" s="5" t="s">
        <v>3</v>
      </c>
      <c r="C281" s="2"/>
      <c r="D281" s="213">
        <f>SUM(D280)</f>
        <v>500000</v>
      </c>
      <c r="E281" s="213">
        <f t="shared" ref="E281:P281" si="101">SUM(E280)</f>
        <v>500000</v>
      </c>
      <c r="F281" s="213">
        <f t="shared" si="101"/>
        <v>0</v>
      </c>
      <c r="G281" s="213">
        <f t="shared" si="101"/>
        <v>0</v>
      </c>
      <c r="H281" s="213">
        <f t="shared" si="101"/>
        <v>0</v>
      </c>
      <c r="I281" s="213">
        <f t="shared" si="101"/>
        <v>0</v>
      </c>
      <c r="J281" s="213">
        <f t="shared" si="101"/>
        <v>0</v>
      </c>
      <c r="K281" s="213">
        <f t="shared" si="101"/>
        <v>0</v>
      </c>
      <c r="L281" s="213">
        <f t="shared" si="101"/>
        <v>0</v>
      </c>
      <c r="M281" s="213">
        <f t="shared" si="101"/>
        <v>0</v>
      </c>
      <c r="N281" s="213">
        <f t="shared" si="101"/>
        <v>0</v>
      </c>
      <c r="O281" s="213">
        <f t="shared" si="101"/>
        <v>0</v>
      </c>
      <c r="P281" s="213">
        <f t="shared" si="101"/>
        <v>0</v>
      </c>
      <c r="Q281" s="213">
        <f>(P281/D281)*100</f>
        <v>0</v>
      </c>
      <c r="R281" s="213">
        <f>(P281/E281)*100</f>
        <v>0</v>
      </c>
    </row>
    <row r="284" spans="1:18" ht="38.25">
      <c r="A284" s="12" t="s">
        <v>156</v>
      </c>
      <c r="B284" s="77" t="s">
        <v>379</v>
      </c>
      <c r="C284" s="2"/>
      <c r="D284" s="85" t="s">
        <v>490</v>
      </c>
      <c r="E284" s="203" t="s">
        <v>493</v>
      </c>
      <c r="F284" s="204" t="s">
        <v>492</v>
      </c>
      <c r="G284" s="204" t="s">
        <v>497</v>
      </c>
      <c r="H284" s="204" t="s">
        <v>505</v>
      </c>
      <c r="I284" s="204" t="s">
        <v>498</v>
      </c>
      <c r="J284" s="204" t="s">
        <v>499</v>
      </c>
      <c r="K284" s="204" t="s">
        <v>500</v>
      </c>
      <c r="L284" s="204" t="s">
        <v>501</v>
      </c>
      <c r="M284" s="204" t="s">
        <v>502</v>
      </c>
      <c r="N284" s="204" t="s">
        <v>503</v>
      </c>
      <c r="O284" s="204" t="s">
        <v>504</v>
      </c>
      <c r="P284" s="204" t="s">
        <v>496</v>
      </c>
      <c r="Q284" s="204" t="s">
        <v>543</v>
      </c>
      <c r="R284" s="205" t="s">
        <v>495</v>
      </c>
    </row>
    <row r="285" spans="1:18">
      <c r="A285" s="12" t="s">
        <v>263</v>
      </c>
      <c r="B285" s="3" t="s">
        <v>168</v>
      </c>
      <c r="C285" s="2"/>
      <c r="D285" s="111">
        <v>10000</v>
      </c>
      <c r="E285" s="101">
        <v>10000</v>
      </c>
      <c r="F285" s="101">
        <v>0</v>
      </c>
      <c r="G285" s="101"/>
      <c r="H285" s="101"/>
      <c r="I285" s="101"/>
      <c r="J285" s="101"/>
      <c r="K285" s="101"/>
      <c r="L285" s="101"/>
      <c r="M285" s="101"/>
      <c r="N285" s="101"/>
      <c r="O285" s="101"/>
      <c r="P285" s="101">
        <f>SUM(F285:O285)</f>
        <v>0</v>
      </c>
      <c r="Q285" s="101">
        <f t="shared" ref="Q285:Q287" si="102">(P285/D285)*100</f>
        <v>0</v>
      </c>
      <c r="R285" s="101">
        <f t="shared" ref="R285:R287" si="103">(P285/E285)*100</f>
        <v>0</v>
      </c>
    </row>
    <row r="286" spans="1:18">
      <c r="B286" s="3" t="s">
        <v>169</v>
      </c>
      <c r="C286" s="2"/>
      <c r="D286" s="111">
        <v>10000</v>
      </c>
      <c r="E286" s="101">
        <v>10000</v>
      </c>
      <c r="F286" s="101">
        <v>0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1">
        <f t="shared" ref="P286:P288" si="104">SUM(F286:O286)</f>
        <v>0</v>
      </c>
      <c r="Q286" s="101">
        <f t="shared" si="102"/>
        <v>0</v>
      </c>
      <c r="R286" s="101">
        <f t="shared" si="103"/>
        <v>0</v>
      </c>
    </row>
    <row r="287" spans="1:18">
      <c r="B287" s="81" t="s">
        <v>160</v>
      </c>
      <c r="C287" s="2"/>
      <c r="D287" s="111">
        <v>100000</v>
      </c>
      <c r="E287" s="101">
        <v>100000</v>
      </c>
      <c r="F287" s="101">
        <v>0</v>
      </c>
      <c r="G287" s="101"/>
      <c r="H287" s="101"/>
      <c r="I287" s="101"/>
      <c r="J287" s="101"/>
      <c r="K287" s="101"/>
      <c r="L287" s="101"/>
      <c r="M287" s="101"/>
      <c r="N287" s="101"/>
      <c r="O287" s="101"/>
      <c r="P287" s="101">
        <f t="shared" si="104"/>
        <v>0</v>
      </c>
      <c r="Q287" s="101">
        <f t="shared" si="102"/>
        <v>0</v>
      </c>
      <c r="R287" s="101">
        <f t="shared" si="103"/>
        <v>0</v>
      </c>
    </row>
    <row r="288" spans="1:18">
      <c r="B288" s="3" t="s">
        <v>264</v>
      </c>
      <c r="C288" s="2"/>
      <c r="D288" s="111">
        <v>30000</v>
      </c>
      <c r="E288" s="101">
        <v>30000</v>
      </c>
      <c r="F288" s="101">
        <v>0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1">
        <f t="shared" si="104"/>
        <v>0</v>
      </c>
      <c r="Q288" s="101">
        <f t="shared" ref="Q288" si="105">(P288/D288)*100</f>
        <v>0</v>
      </c>
      <c r="R288" s="101">
        <f t="shared" ref="R288" si="106">(P288/E288)*100</f>
        <v>0</v>
      </c>
    </row>
    <row r="289" spans="1:18">
      <c r="B289" s="5" t="s">
        <v>3</v>
      </c>
      <c r="C289" s="2"/>
      <c r="D289" s="213">
        <f>SUM(D285:D288)</f>
        <v>150000</v>
      </c>
      <c r="E289" s="213">
        <f t="shared" ref="E289:P289" si="107">SUM(E285:E288)</f>
        <v>150000</v>
      </c>
      <c r="F289" s="213">
        <f t="shared" si="107"/>
        <v>0</v>
      </c>
      <c r="G289" s="213">
        <f t="shared" si="107"/>
        <v>0</v>
      </c>
      <c r="H289" s="213">
        <f t="shared" si="107"/>
        <v>0</v>
      </c>
      <c r="I289" s="213">
        <f t="shared" si="107"/>
        <v>0</v>
      </c>
      <c r="J289" s="213">
        <f t="shared" si="107"/>
        <v>0</v>
      </c>
      <c r="K289" s="213">
        <f t="shared" si="107"/>
        <v>0</v>
      </c>
      <c r="L289" s="213">
        <f t="shared" si="107"/>
        <v>0</v>
      </c>
      <c r="M289" s="213">
        <f t="shared" si="107"/>
        <v>0</v>
      </c>
      <c r="N289" s="213">
        <f t="shared" si="107"/>
        <v>0</v>
      </c>
      <c r="O289" s="213">
        <f t="shared" si="107"/>
        <v>0</v>
      </c>
      <c r="P289" s="213">
        <f t="shared" si="107"/>
        <v>0</v>
      </c>
      <c r="Q289" s="213">
        <f>(P289/D289)*100</f>
        <v>0</v>
      </c>
      <c r="R289" s="213">
        <f>(P289/E289)*100</f>
        <v>0</v>
      </c>
    </row>
    <row r="292" spans="1:18" ht="38.25">
      <c r="A292" s="12" t="s">
        <v>156</v>
      </c>
      <c r="B292" s="77" t="s">
        <v>510</v>
      </c>
      <c r="C292" s="2"/>
      <c r="D292" s="85" t="s">
        <v>490</v>
      </c>
      <c r="E292" s="203" t="s">
        <v>493</v>
      </c>
      <c r="F292" s="204" t="s">
        <v>492</v>
      </c>
      <c r="G292" s="204" t="s">
        <v>497</v>
      </c>
      <c r="H292" s="204" t="s">
        <v>505</v>
      </c>
      <c r="I292" s="204" t="s">
        <v>498</v>
      </c>
      <c r="J292" s="204" t="s">
        <v>499</v>
      </c>
      <c r="K292" s="204" t="s">
        <v>500</v>
      </c>
      <c r="L292" s="204" t="s">
        <v>501</v>
      </c>
      <c r="M292" s="204" t="s">
        <v>502</v>
      </c>
      <c r="N292" s="204" t="s">
        <v>503</v>
      </c>
      <c r="O292" s="204" t="s">
        <v>504</v>
      </c>
      <c r="P292" s="204" t="s">
        <v>496</v>
      </c>
      <c r="Q292" s="204" t="s">
        <v>543</v>
      </c>
      <c r="R292" s="205" t="s">
        <v>495</v>
      </c>
    </row>
    <row r="293" spans="1:18">
      <c r="A293" s="231" t="s">
        <v>511</v>
      </c>
      <c r="B293" s="4" t="s">
        <v>507</v>
      </c>
      <c r="C293" s="2"/>
      <c r="D293" s="111">
        <v>500000</v>
      </c>
      <c r="E293" s="101">
        <v>500000</v>
      </c>
      <c r="F293" s="101">
        <v>286120.23</v>
      </c>
      <c r="G293" s="101"/>
      <c r="H293" s="101"/>
      <c r="I293" s="101"/>
      <c r="J293" s="101"/>
      <c r="K293" s="101"/>
      <c r="L293" s="101"/>
      <c r="M293" s="101"/>
      <c r="N293" s="101"/>
      <c r="O293" s="101"/>
      <c r="P293" s="101">
        <f>SUM(F293:O293)</f>
        <v>286120.23</v>
      </c>
      <c r="Q293" s="101">
        <f t="shared" ref="Q293" si="108">(P293/D293)*100</f>
        <v>57.224045999999994</v>
      </c>
      <c r="R293" s="101">
        <f t="shared" ref="R293" si="109">(P293/E293)*100</f>
        <v>57.224045999999994</v>
      </c>
    </row>
    <row r="294" spans="1:18">
      <c r="B294" s="5" t="s">
        <v>3</v>
      </c>
      <c r="C294" s="2"/>
      <c r="D294" s="213">
        <f>SUM(D293)</f>
        <v>500000</v>
      </c>
      <c r="E294" s="213">
        <f t="shared" ref="E294:P294" si="110">SUM(E293)</f>
        <v>500000</v>
      </c>
      <c r="F294" s="213">
        <f t="shared" si="110"/>
        <v>286120.23</v>
      </c>
      <c r="G294" s="213">
        <f t="shared" si="110"/>
        <v>0</v>
      </c>
      <c r="H294" s="213">
        <f t="shared" si="110"/>
        <v>0</v>
      </c>
      <c r="I294" s="213">
        <f t="shared" si="110"/>
        <v>0</v>
      </c>
      <c r="J294" s="213">
        <f t="shared" si="110"/>
        <v>0</v>
      </c>
      <c r="K294" s="213">
        <f t="shared" si="110"/>
        <v>0</v>
      </c>
      <c r="L294" s="213">
        <f t="shared" si="110"/>
        <v>0</v>
      </c>
      <c r="M294" s="213">
        <f t="shared" si="110"/>
        <v>0</v>
      </c>
      <c r="N294" s="213">
        <f t="shared" si="110"/>
        <v>0</v>
      </c>
      <c r="O294" s="213">
        <f t="shared" si="110"/>
        <v>0</v>
      </c>
      <c r="P294" s="213">
        <f t="shared" si="110"/>
        <v>286120.23</v>
      </c>
      <c r="Q294" s="213">
        <f>(P294/D294)*100</f>
        <v>57.224045999999994</v>
      </c>
      <c r="R294" s="213">
        <f>(P294/E294)*100</f>
        <v>57.224045999999994</v>
      </c>
    </row>
    <row r="297" spans="1:18" ht="38.25">
      <c r="A297" s="12" t="s">
        <v>156</v>
      </c>
      <c r="B297" s="77" t="s">
        <v>266</v>
      </c>
      <c r="C297" s="2"/>
      <c r="D297" s="85" t="s">
        <v>490</v>
      </c>
      <c r="E297" s="203" t="s">
        <v>493</v>
      </c>
      <c r="F297" s="204" t="s">
        <v>492</v>
      </c>
      <c r="G297" s="204" t="s">
        <v>497</v>
      </c>
      <c r="H297" s="204" t="s">
        <v>505</v>
      </c>
      <c r="I297" s="204" t="s">
        <v>498</v>
      </c>
      <c r="J297" s="204" t="s">
        <v>499</v>
      </c>
      <c r="K297" s="204" t="s">
        <v>500</v>
      </c>
      <c r="L297" s="204" t="s">
        <v>501</v>
      </c>
      <c r="M297" s="204" t="s">
        <v>502</v>
      </c>
      <c r="N297" s="204" t="s">
        <v>503</v>
      </c>
      <c r="O297" s="204" t="s">
        <v>504</v>
      </c>
      <c r="P297" s="204" t="s">
        <v>496</v>
      </c>
      <c r="Q297" s="204" t="s">
        <v>543</v>
      </c>
      <c r="R297" s="205" t="s">
        <v>495</v>
      </c>
    </row>
    <row r="298" spans="1:18">
      <c r="A298" s="12" t="s">
        <v>267</v>
      </c>
      <c r="B298" s="3" t="s">
        <v>235</v>
      </c>
      <c r="C298" s="2"/>
      <c r="D298" s="111">
        <v>750000</v>
      </c>
      <c r="E298" s="230">
        <v>750000</v>
      </c>
      <c r="F298" s="101">
        <v>124263</v>
      </c>
      <c r="G298" s="101"/>
      <c r="H298" s="101"/>
      <c r="I298" s="101"/>
      <c r="J298" s="101"/>
      <c r="K298" s="101"/>
      <c r="L298" s="101"/>
      <c r="M298" s="101"/>
      <c r="N298" s="101"/>
      <c r="O298" s="101"/>
      <c r="P298" s="101">
        <f>SUM(F298:O298)</f>
        <v>124263</v>
      </c>
      <c r="Q298" s="101">
        <f t="shared" ref="Q298:Q322" si="111">(P298/D298)*100</f>
        <v>16.5684</v>
      </c>
      <c r="R298" s="101">
        <f t="shared" ref="R298:R322" si="112">(P298/E298)*100</f>
        <v>16.5684</v>
      </c>
    </row>
    <row r="299" spans="1:18">
      <c r="B299" s="3" t="s">
        <v>163</v>
      </c>
      <c r="C299" s="2"/>
      <c r="D299" s="111">
        <v>20000</v>
      </c>
      <c r="E299" s="230">
        <v>20000</v>
      </c>
      <c r="F299" s="101">
        <v>0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1">
        <f t="shared" ref="P299:P323" si="113">SUM(F299:O299)</f>
        <v>0</v>
      </c>
      <c r="Q299" s="101">
        <f t="shared" si="111"/>
        <v>0</v>
      </c>
      <c r="R299" s="101">
        <f t="shared" si="112"/>
        <v>0</v>
      </c>
    </row>
    <row r="300" spans="1:18">
      <c r="B300" s="3" t="s">
        <v>164</v>
      </c>
      <c r="C300" s="2"/>
      <c r="D300" s="111">
        <v>220000</v>
      </c>
      <c r="E300" s="230">
        <v>220000</v>
      </c>
      <c r="F300" s="101">
        <v>45986</v>
      </c>
      <c r="G300" s="101"/>
      <c r="H300" s="101"/>
      <c r="I300" s="101"/>
      <c r="J300" s="101"/>
      <c r="K300" s="101"/>
      <c r="L300" s="101"/>
      <c r="M300" s="101"/>
      <c r="N300" s="101"/>
      <c r="O300" s="101"/>
      <c r="P300" s="101">
        <f t="shared" si="113"/>
        <v>45986</v>
      </c>
      <c r="Q300" s="101">
        <f t="shared" si="111"/>
        <v>20.902727272727272</v>
      </c>
      <c r="R300" s="101">
        <f t="shared" si="112"/>
        <v>20.902727272727272</v>
      </c>
    </row>
    <row r="301" spans="1:18">
      <c r="B301" s="3" t="s">
        <v>165</v>
      </c>
      <c r="C301" s="2"/>
      <c r="D301" s="111">
        <v>110000</v>
      </c>
      <c r="E301" s="230">
        <v>110000</v>
      </c>
      <c r="F301" s="101">
        <v>19710</v>
      </c>
      <c r="G301" s="101"/>
      <c r="H301" s="101"/>
      <c r="I301" s="101"/>
      <c r="J301" s="101"/>
      <c r="K301" s="101"/>
      <c r="L301" s="101"/>
      <c r="M301" s="101"/>
      <c r="N301" s="101"/>
      <c r="O301" s="101"/>
      <c r="P301" s="101">
        <f t="shared" si="113"/>
        <v>19710</v>
      </c>
      <c r="Q301" s="101">
        <f t="shared" si="111"/>
        <v>17.918181818181818</v>
      </c>
      <c r="R301" s="101">
        <f t="shared" si="112"/>
        <v>17.918181818181818</v>
      </c>
    </row>
    <row r="302" spans="1:18">
      <c r="B302" s="3" t="s">
        <v>166</v>
      </c>
      <c r="C302" s="2"/>
      <c r="D302" s="111">
        <v>5000</v>
      </c>
      <c r="E302" s="230">
        <v>5000</v>
      </c>
      <c r="F302" s="101">
        <v>606</v>
      </c>
      <c r="G302" s="101"/>
      <c r="H302" s="101"/>
      <c r="I302" s="101"/>
      <c r="J302" s="101"/>
      <c r="K302" s="101"/>
      <c r="L302" s="101"/>
      <c r="M302" s="101"/>
      <c r="N302" s="101"/>
      <c r="O302" s="101"/>
      <c r="P302" s="101">
        <f t="shared" si="113"/>
        <v>606</v>
      </c>
      <c r="Q302" s="101">
        <f t="shared" si="111"/>
        <v>12.120000000000001</v>
      </c>
      <c r="R302" s="101">
        <f t="shared" si="112"/>
        <v>12.120000000000001</v>
      </c>
    </row>
    <row r="303" spans="1:18">
      <c r="B303" s="3" t="s">
        <v>167</v>
      </c>
      <c r="C303" s="2"/>
      <c r="D303" s="111">
        <v>2000</v>
      </c>
      <c r="E303" s="230">
        <v>2000</v>
      </c>
      <c r="F303" s="101">
        <v>0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1">
        <f t="shared" si="113"/>
        <v>0</v>
      </c>
      <c r="Q303" s="101">
        <f t="shared" si="111"/>
        <v>0</v>
      </c>
      <c r="R303" s="101">
        <f t="shared" si="112"/>
        <v>0</v>
      </c>
    </row>
    <row r="304" spans="1:18">
      <c r="B304" s="3" t="s">
        <v>236</v>
      </c>
      <c r="C304" s="2"/>
      <c r="D304" s="111">
        <v>1000</v>
      </c>
      <c r="E304" s="230">
        <v>1000</v>
      </c>
      <c r="F304" s="101">
        <v>0</v>
      </c>
      <c r="G304" s="101"/>
      <c r="H304" s="101"/>
      <c r="I304" s="101"/>
      <c r="J304" s="101"/>
      <c r="K304" s="101"/>
      <c r="L304" s="101"/>
      <c r="M304" s="101"/>
      <c r="N304" s="101"/>
      <c r="O304" s="101"/>
      <c r="P304" s="101">
        <f t="shared" si="113"/>
        <v>0</v>
      </c>
      <c r="Q304" s="101">
        <f t="shared" si="111"/>
        <v>0</v>
      </c>
      <c r="R304" s="101">
        <f t="shared" si="112"/>
        <v>0</v>
      </c>
    </row>
    <row r="305" spans="2:18">
      <c r="B305" s="3" t="s">
        <v>168</v>
      </c>
      <c r="C305" s="2"/>
      <c r="D305" s="111">
        <v>20000</v>
      </c>
      <c r="E305" s="230">
        <v>20000</v>
      </c>
      <c r="F305" s="101">
        <v>0</v>
      </c>
      <c r="G305" s="101"/>
      <c r="H305" s="101"/>
      <c r="I305" s="101"/>
      <c r="J305" s="101"/>
      <c r="K305" s="101"/>
      <c r="L305" s="101"/>
      <c r="M305" s="101"/>
      <c r="N305" s="101"/>
      <c r="O305" s="101"/>
      <c r="P305" s="101">
        <f t="shared" si="113"/>
        <v>0</v>
      </c>
      <c r="Q305" s="101">
        <f t="shared" si="111"/>
        <v>0</v>
      </c>
      <c r="R305" s="101">
        <f t="shared" si="112"/>
        <v>0</v>
      </c>
    </row>
    <row r="306" spans="2:18">
      <c r="B306" s="74" t="s">
        <v>334</v>
      </c>
      <c r="C306" s="2"/>
      <c r="D306" s="111">
        <v>450000</v>
      </c>
      <c r="E306" s="230">
        <v>450000</v>
      </c>
      <c r="F306" s="101">
        <v>33797</v>
      </c>
      <c r="G306" s="101"/>
      <c r="H306" s="101"/>
      <c r="I306" s="101"/>
      <c r="J306" s="101"/>
      <c r="K306" s="101"/>
      <c r="L306" s="101"/>
      <c r="M306" s="101"/>
      <c r="N306" s="101"/>
      <c r="O306" s="101"/>
      <c r="P306" s="101">
        <f t="shared" si="113"/>
        <v>33797</v>
      </c>
      <c r="Q306" s="101">
        <f t="shared" si="111"/>
        <v>7.5104444444444445</v>
      </c>
      <c r="R306" s="101">
        <f t="shared" si="112"/>
        <v>7.5104444444444445</v>
      </c>
    </row>
    <row r="307" spans="2:18">
      <c r="B307" s="3" t="s">
        <v>185</v>
      </c>
      <c r="C307" s="2"/>
      <c r="D307" s="111">
        <v>1400000</v>
      </c>
      <c r="E307" s="230">
        <v>1400000</v>
      </c>
      <c r="F307" s="101">
        <v>0</v>
      </c>
      <c r="G307" s="101"/>
      <c r="H307" s="101"/>
      <c r="I307" s="101"/>
      <c r="J307" s="101"/>
      <c r="K307" s="101"/>
      <c r="L307" s="101"/>
      <c r="M307" s="101"/>
      <c r="N307" s="101"/>
      <c r="O307" s="101"/>
      <c r="P307" s="101">
        <f t="shared" si="113"/>
        <v>0</v>
      </c>
      <c r="Q307" s="101">
        <f t="shared" si="111"/>
        <v>0</v>
      </c>
      <c r="R307" s="101">
        <f t="shared" si="112"/>
        <v>0</v>
      </c>
    </row>
    <row r="308" spans="2:18">
      <c r="B308" s="3" t="s">
        <v>268</v>
      </c>
      <c r="C308" s="2"/>
      <c r="D308" s="111">
        <v>3100000</v>
      </c>
      <c r="E308" s="230">
        <v>3100000</v>
      </c>
      <c r="F308" s="101">
        <v>924236</v>
      </c>
      <c r="G308" s="101"/>
      <c r="H308" s="101"/>
      <c r="I308" s="101"/>
      <c r="J308" s="101"/>
      <c r="K308" s="101"/>
      <c r="L308" s="101"/>
      <c r="M308" s="101"/>
      <c r="N308" s="101"/>
      <c r="O308" s="101"/>
      <c r="P308" s="101">
        <f t="shared" si="113"/>
        <v>924236</v>
      </c>
      <c r="Q308" s="101">
        <f t="shared" si="111"/>
        <v>29.814064516129029</v>
      </c>
      <c r="R308" s="101">
        <f t="shared" si="112"/>
        <v>29.814064516129029</v>
      </c>
    </row>
    <row r="309" spans="2:18">
      <c r="B309" s="11" t="s">
        <v>255</v>
      </c>
      <c r="C309" s="2"/>
      <c r="D309" s="111">
        <v>10000</v>
      </c>
      <c r="E309" s="230">
        <v>10000</v>
      </c>
      <c r="F309" s="101">
        <v>4750.5200000000004</v>
      </c>
      <c r="G309" s="101"/>
      <c r="H309" s="101"/>
      <c r="I309" s="101"/>
      <c r="J309" s="101"/>
      <c r="K309" s="101"/>
      <c r="L309" s="101"/>
      <c r="M309" s="101"/>
      <c r="N309" s="101"/>
      <c r="O309" s="101"/>
      <c r="P309" s="101">
        <f t="shared" si="113"/>
        <v>4750.5200000000004</v>
      </c>
      <c r="Q309" s="101">
        <f t="shared" si="111"/>
        <v>47.505200000000002</v>
      </c>
      <c r="R309" s="101">
        <f t="shared" si="112"/>
        <v>47.505200000000002</v>
      </c>
    </row>
    <row r="310" spans="2:18">
      <c r="B310" s="3" t="s">
        <v>269</v>
      </c>
      <c r="C310" s="2"/>
      <c r="D310" s="111">
        <v>200000</v>
      </c>
      <c r="E310" s="230">
        <v>200000</v>
      </c>
      <c r="F310" s="101">
        <v>59269.85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>
        <f t="shared" si="113"/>
        <v>59269.85</v>
      </c>
      <c r="Q310" s="101">
        <f t="shared" si="111"/>
        <v>29.634925000000003</v>
      </c>
      <c r="R310" s="101">
        <f t="shared" si="112"/>
        <v>29.634925000000003</v>
      </c>
    </row>
    <row r="311" spans="2:18">
      <c r="B311" s="3" t="s">
        <v>170</v>
      </c>
      <c r="C311" s="2"/>
      <c r="D311" s="111">
        <v>10000</v>
      </c>
      <c r="E311" s="230">
        <v>10000</v>
      </c>
      <c r="F311" s="101">
        <v>286.08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1">
        <f t="shared" si="113"/>
        <v>286.08</v>
      </c>
      <c r="Q311" s="101">
        <f t="shared" si="111"/>
        <v>2.8607999999999998</v>
      </c>
      <c r="R311" s="101">
        <f t="shared" si="112"/>
        <v>2.8607999999999998</v>
      </c>
    </row>
    <row r="312" spans="2:18">
      <c r="B312" s="3" t="s">
        <v>237</v>
      </c>
      <c r="C312" s="2"/>
      <c r="D312" s="111">
        <v>30000</v>
      </c>
      <c r="E312" s="230">
        <v>30000</v>
      </c>
      <c r="F312" s="101">
        <v>4794.6000000000004</v>
      </c>
      <c r="G312" s="101"/>
      <c r="H312" s="101"/>
      <c r="I312" s="101"/>
      <c r="J312" s="101"/>
      <c r="K312" s="101"/>
      <c r="L312" s="101"/>
      <c r="M312" s="101"/>
      <c r="N312" s="101"/>
      <c r="O312" s="101"/>
      <c r="P312" s="101">
        <f t="shared" si="113"/>
        <v>4794.6000000000004</v>
      </c>
      <c r="Q312" s="101">
        <f t="shared" si="111"/>
        <v>15.982000000000001</v>
      </c>
      <c r="R312" s="101">
        <f t="shared" si="112"/>
        <v>15.982000000000001</v>
      </c>
    </row>
    <row r="313" spans="2:18">
      <c r="B313" s="3" t="s">
        <v>171</v>
      </c>
      <c r="C313" s="2"/>
      <c r="D313" s="111">
        <v>15000</v>
      </c>
      <c r="E313" s="230">
        <v>15000</v>
      </c>
      <c r="F313" s="101">
        <v>3098.18</v>
      </c>
      <c r="G313" s="101"/>
      <c r="H313" s="101"/>
      <c r="I313" s="101"/>
      <c r="J313" s="101"/>
      <c r="K313" s="101"/>
      <c r="L313" s="101"/>
      <c r="M313" s="101"/>
      <c r="N313" s="101"/>
      <c r="O313" s="101"/>
      <c r="P313" s="101">
        <f t="shared" si="113"/>
        <v>3098.18</v>
      </c>
      <c r="Q313" s="101">
        <f t="shared" si="111"/>
        <v>20.654533333333333</v>
      </c>
      <c r="R313" s="101">
        <f t="shared" si="112"/>
        <v>20.654533333333333</v>
      </c>
    </row>
    <row r="314" spans="2:18">
      <c r="B314" s="3" t="s">
        <v>172</v>
      </c>
      <c r="C314" s="2"/>
      <c r="D314" s="111">
        <v>70000</v>
      </c>
      <c r="E314" s="230">
        <v>70000</v>
      </c>
      <c r="F314" s="101">
        <v>0</v>
      </c>
      <c r="G314" s="101"/>
      <c r="H314" s="101"/>
      <c r="I314" s="101"/>
      <c r="J314" s="101"/>
      <c r="K314" s="101"/>
      <c r="L314" s="101"/>
      <c r="M314" s="101"/>
      <c r="N314" s="101"/>
      <c r="O314" s="101"/>
      <c r="P314" s="101">
        <f t="shared" si="113"/>
        <v>0</v>
      </c>
      <c r="Q314" s="101">
        <f t="shared" si="111"/>
        <v>0</v>
      </c>
      <c r="R314" s="101">
        <f t="shared" si="112"/>
        <v>0</v>
      </c>
    </row>
    <row r="315" spans="2:18">
      <c r="B315" s="3" t="s">
        <v>270</v>
      </c>
      <c r="C315" s="2"/>
      <c r="D315" s="111">
        <v>5000</v>
      </c>
      <c r="E315" s="230">
        <v>5000</v>
      </c>
      <c r="F315" s="101">
        <v>0</v>
      </c>
      <c r="G315" s="101"/>
      <c r="H315" s="101"/>
      <c r="I315" s="101"/>
      <c r="J315" s="101"/>
      <c r="K315" s="101"/>
      <c r="L315" s="101"/>
      <c r="M315" s="101"/>
      <c r="N315" s="101"/>
      <c r="O315" s="101"/>
      <c r="P315" s="101">
        <f t="shared" si="113"/>
        <v>0</v>
      </c>
      <c r="Q315" s="101">
        <f t="shared" si="111"/>
        <v>0</v>
      </c>
      <c r="R315" s="101">
        <f t="shared" si="112"/>
        <v>0</v>
      </c>
    </row>
    <row r="316" spans="2:18">
      <c r="B316" s="3" t="s">
        <v>159</v>
      </c>
      <c r="C316" s="2"/>
      <c r="D316" s="111">
        <v>10000</v>
      </c>
      <c r="E316" s="230">
        <v>10000</v>
      </c>
      <c r="F316" s="101">
        <v>0</v>
      </c>
      <c r="G316" s="101"/>
      <c r="H316" s="101"/>
      <c r="I316" s="101"/>
      <c r="J316" s="101"/>
      <c r="K316" s="101"/>
      <c r="L316" s="101"/>
      <c r="M316" s="101"/>
      <c r="N316" s="101"/>
      <c r="O316" s="101"/>
      <c r="P316" s="101">
        <f t="shared" si="113"/>
        <v>0</v>
      </c>
      <c r="Q316" s="101">
        <f t="shared" si="111"/>
        <v>0</v>
      </c>
      <c r="R316" s="101">
        <f t="shared" si="112"/>
        <v>0</v>
      </c>
    </row>
    <row r="317" spans="2:18">
      <c r="B317" s="3" t="s">
        <v>271</v>
      </c>
      <c r="C317" s="2"/>
      <c r="D317" s="111">
        <v>250000</v>
      </c>
      <c r="E317" s="230">
        <v>250000</v>
      </c>
      <c r="F317" s="101">
        <v>115262</v>
      </c>
      <c r="G317" s="101"/>
      <c r="H317" s="101"/>
      <c r="I317" s="101"/>
      <c r="J317" s="101"/>
      <c r="K317" s="101"/>
      <c r="L317" s="101"/>
      <c r="M317" s="101"/>
      <c r="N317" s="101"/>
      <c r="O317" s="101"/>
      <c r="P317" s="101">
        <f t="shared" si="113"/>
        <v>115262</v>
      </c>
      <c r="Q317" s="101">
        <f t="shared" si="111"/>
        <v>46.104800000000004</v>
      </c>
      <c r="R317" s="101">
        <f t="shared" si="112"/>
        <v>46.104800000000004</v>
      </c>
    </row>
    <row r="318" spans="2:18">
      <c r="B318" s="3" t="s">
        <v>173</v>
      </c>
      <c r="C318" s="2"/>
      <c r="D318" s="111">
        <v>1500000</v>
      </c>
      <c r="E318" s="230">
        <v>1500000</v>
      </c>
      <c r="F318" s="101">
        <v>153793.41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1">
        <f t="shared" si="113"/>
        <v>153793.41</v>
      </c>
      <c r="Q318" s="101">
        <f t="shared" si="111"/>
        <v>10.252894</v>
      </c>
      <c r="R318" s="101">
        <f t="shared" si="112"/>
        <v>10.252894</v>
      </c>
    </row>
    <row r="319" spans="2:18">
      <c r="B319" s="3" t="s">
        <v>241</v>
      </c>
      <c r="C319" s="2"/>
      <c r="D319" s="111">
        <v>1000</v>
      </c>
      <c r="E319" s="230">
        <v>1000</v>
      </c>
      <c r="F319" s="101">
        <v>0</v>
      </c>
      <c r="G319" s="101"/>
      <c r="H319" s="101"/>
      <c r="I319" s="101"/>
      <c r="J319" s="101"/>
      <c r="K319" s="101"/>
      <c r="L319" s="101"/>
      <c r="M319" s="101"/>
      <c r="N319" s="101"/>
      <c r="O319" s="101"/>
      <c r="P319" s="101">
        <f t="shared" si="113"/>
        <v>0</v>
      </c>
      <c r="Q319" s="101">
        <f t="shared" si="111"/>
        <v>0</v>
      </c>
      <c r="R319" s="101">
        <f t="shared" si="112"/>
        <v>0</v>
      </c>
    </row>
    <row r="320" spans="2:18">
      <c r="B320" s="4" t="s">
        <v>340</v>
      </c>
      <c r="C320" s="2"/>
      <c r="D320" s="111">
        <v>2000</v>
      </c>
      <c r="E320" s="230">
        <v>2000</v>
      </c>
      <c r="F320" s="101">
        <v>0</v>
      </c>
      <c r="G320" s="101"/>
      <c r="H320" s="101"/>
      <c r="I320" s="101"/>
      <c r="J320" s="101"/>
      <c r="K320" s="101"/>
      <c r="L320" s="101"/>
      <c r="M320" s="101"/>
      <c r="N320" s="101"/>
      <c r="O320" s="101"/>
      <c r="P320" s="101">
        <f t="shared" si="113"/>
        <v>0</v>
      </c>
      <c r="Q320" s="101">
        <f t="shared" si="111"/>
        <v>0</v>
      </c>
      <c r="R320" s="101">
        <f t="shared" si="112"/>
        <v>0</v>
      </c>
    </row>
    <row r="321" spans="1:18">
      <c r="B321" s="3" t="s">
        <v>243</v>
      </c>
      <c r="C321" s="2"/>
      <c r="D321" s="111">
        <v>10000</v>
      </c>
      <c r="E321" s="230">
        <v>10000</v>
      </c>
      <c r="F321" s="101">
        <v>0</v>
      </c>
      <c r="G321" s="101"/>
      <c r="H321" s="101"/>
      <c r="I321" s="101"/>
      <c r="J321" s="101"/>
      <c r="K321" s="101"/>
      <c r="L321" s="101"/>
      <c r="M321" s="101"/>
      <c r="N321" s="101"/>
      <c r="O321" s="101"/>
      <c r="P321" s="101">
        <f t="shared" si="113"/>
        <v>0</v>
      </c>
      <c r="Q321" s="101">
        <f t="shared" si="111"/>
        <v>0</v>
      </c>
      <c r="R321" s="101">
        <f t="shared" si="112"/>
        <v>0</v>
      </c>
    </row>
    <row r="322" spans="1:18">
      <c r="B322" s="3" t="s">
        <v>176</v>
      </c>
      <c r="C322" s="2"/>
      <c r="D322" s="111">
        <v>15000</v>
      </c>
      <c r="E322" s="230">
        <v>15000</v>
      </c>
      <c r="F322" s="101">
        <v>2200</v>
      </c>
      <c r="G322" s="101"/>
      <c r="H322" s="101"/>
      <c r="I322" s="101"/>
      <c r="J322" s="101"/>
      <c r="K322" s="101"/>
      <c r="L322" s="101"/>
      <c r="M322" s="101"/>
      <c r="N322" s="101"/>
      <c r="O322" s="101"/>
      <c r="P322" s="101">
        <f t="shared" si="113"/>
        <v>2200</v>
      </c>
      <c r="Q322" s="101">
        <f t="shared" si="111"/>
        <v>14.666666666666666</v>
      </c>
      <c r="R322" s="101">
        <f t="shared" si="112"/>
        <v>14.666666666666666</v>
      </c>
    </row>
    <row r="323" spans="1:18">
      <c r="B323" s="4" t="s">
        <v>507</v>
      </c>
      <c r="C323" s="2"/>
      <c r="D323" s="111">
        <v>2800000</v>
      </c>
      <c r="E323" s="230">
        <v>2800000</v>
      </c>
      <c r="F323" s="101">
        <v>0</v>
      </c>
      <c r="G323" s="101"/>
      <c r="H323" s="101"/>
      <c r="I323" s="101"/>
      <c r="J323" s="101"/>
      <c r="K323" s="101"/>
      <c r="L323" s="101"/>
      <c r="M323" s="101"/>
      <c r="N323" s="101"/>
      <c r="O323" s="101"/>
      <c r="P323" s="101">
        <f t="shared" si="113"/>
        <v>0</v>
      </c>
      <c r="Q323" s="101">
        <f t="shared" ref="Q323" si="114">(P323/D323)*100</f>
        <v>0</v>
      </c>
      <c r="R323" s="101">
        <f t="shared" ref="R323" si="115">(P323/E323)*100</f>
        <v>0</v>
      </c>
    </row>
    <row r="324" spans="1:18">
      <c r="B324" s="5" t="s">
        <v>3</v>
      </c>
      <c r="C324" s="2"/>
      <c r="D324" s="213">
        <f>SUM(D298:D323)</f>
        <v>11006000</v>
      </c>
      <c r="E324" s="213">
        <f t="shared" ref="E324:P324" si="116">SUM(E298:E323)</f>
        <v>11006000</v>
      </c>
      <c r="F324" s="213">
        <f t="shared" si="116"/>
        <v>1492052.6400000001</v>
      </c>
      <c r="G324" s="213">
        <f t="shared" si="116"/>
        <v>0</v>
      </c>
      <c r="H324" s="213">
        <f t="shared" si="116"/>
        <v>0</v>
      </c>
      <c r="I324" s="213">
        <f t="shared" si="116"/>
        <v>0</v>
      </c>
      <c r="J324" s="213">
        <f t="shared" si="116"/>
        <v>0</v>
      </c>
      <c r="K324" s="213">
        <f t="shared" si="116"/>
        <v>0</v>
      </c>
      <c r="L324" s="213">
        <f t="shared" si="116"/>
        <v>0</v>
      </c>
      <c r="M324" s="213">
        <f t="shared" si="116"/>
        <v>0</v>
      </c>
      <c r="N324" s="213">
        <f t="shared" si="116"/>
        <v>0</v>
      </c>
      <c r="O324" s="213">
        <f t="shared" si="116"/>
        <v>0</v>
      </c>
      <c r="P324" s="213">
        <f t="shared" si="116"/>
        <v>1492052.6400000001</v>
      </c>
      <c r="Q324" s="213">
        <f>(P324/D324)*100</f>
        <v>13.556720334363076</v>
      </c>
      <c r="R324" s="213">
        <f>(P324/E324)*100</f>
        <v>13.556720334363076</v>
      </c>
    </row>
    <row r="327" spans="1:18" ht="38.25">
      <c r="A327" s="12" t="s">
        <v>156</v>
      </c>
      <c r="B327" s="77" t="s">
        <v>272</v>
      </c>
      <c r="C327" s="2"/>
      <c r="D327" s="85" t="s">
        <v>490</v>
      </c>
      <c r="E327" s="203" t="s">
        <v>493</v>
      </c>
      <c r="F327" s="204" t="s">
        <v>492</v>
      </c>
      <c r="G327" s="204" t="s">
        <v>497</v>
      </c>
      <c r="H327" s="204" t="s">
        <v>505</v>
      </c>
      <c r="I327" s="204" t="s">
        <v>498</v>
      </c>
      <c r="J327" s="204" t="s">
        <v>499</v>
      </c>
      <c r="K327" s="204" t="s">
        <v>500</v>
      </c>
      <c r="L327" s="204" t="s">
        <v>501</v>
      </c>
      <c r="M327" s="204" t="s">
        <v>502</v>
      </c>
      <c r="N327" s="204" t="s">
        <v>503</v>
      </c>
      <c r="O327" s="204" t="s">
        <v>504</v>
      </c>
      <c r="P327" s="204" t="s">
        <v>496</v>
      </c>
      <c r="Q327" s="204" t="s">
        <v>543</v>
      </c>
      <c r="R327" s="205" t="s">
        <v>495</v>
      </c>
    </row>
    <row r="328" spans="1:18">
      <c r="A328" s="12" t="s">
        <v>273</v>
      </c>
      <c r="B328" s="3" t="s">
        <v>169</v>
      </c>
      <c r="C328" s="2"/>
      <c r="D328" s="111">
        <v>50000</v>
      </c>
      <c r="E328" s="230">
        <v>50000</v>
      </c>
      <c r="F328" s="101">
        <v>12510</v>
      </c>
      <c r="G328" s="101"/>
      <c r="H328" s="101"/>
      <c r="I328" s="101"/>
      <c r="J328" s="101"/>
      <c r="K328" s="101"/>
      <c r="L328" s="101"/>
      <c r="M328" s="101"/>
      <c r="N328" s="101"/>
      <c r="O328" s="101"/>
      <c r="P328" s="101">
        <f>SUM(F328:O328)</f>
        <v>12510</v>
      </c>
      <c r="Q328" s="101">
        <f t="shared" ref="Q328:Q334" si="117">(P328/D328)*100</f>
        <v>25.019999999999996</v>
      </c>
      <c r="R328" s="101">
        <f t="shared" ref="R328:R334" si="118">(P328/E328)*100</f>
        <v>25.019999999999996</v>
      </c>
    </row>
    <row r="329" spans="1:18">
      <c r="B329" s="3" t="s">
        <v>185</v>
      </c>
      <c r="C329" s="2"/>
      <c r="D329" s="111">
        <v>100000</v>
      </c>
      <c r="E329" s="230">
        <v>100000</v>
      </c>
      <c r="F329" s="101">
        <v>0</v>
      </c>
      <c r="G329" s="101"/>
      <c r="H329" s="101"/>
      <c r="I329" s="101"/>
      <c r="J329" s="101"/>
      <c r="K329" s="101"/>
      <c r="L329" s="101"/>
      <c r="M329" s="101"/>
      <c r="N329" s="101"/>
      <c r="O329" s="101"/>
      <c r="P329" s="101">
        <f t="shared" ref="P329:P335" si="119">SUM(F329:O329)</f>
        <v>0</v>
      </c>
      <c r="Q329" s="101">
        <f t="shared" si="117"/>
        <v>0</v>
      </c>
      <c r="R329" s="101">
        <f t="shared" si="118"/>
        <v>0</v>
      </c>
    </row>
    <row r="330" spans="1:18">
      <c r="B330" s="11" t="s">
        <v>12</v>
      </c>
      <c r="C330" s="2"/>
      <c r="D330" s="111">
        <v>1100000</v>
      </c>
      <c r="E330" s="230">
        <v>1100000</v>
      </c>
      <c r="F330" s="101">
        <v>275250</v>
      </c>
      <c r="G330" s="101"/>
      <c r="H330" s="101"/>
      <c r="I330" s="101"/>
      <c r="J330" s="101"/>
      <c r="K330" s="101"/>
      <c r="L330" s="101"/>
      <c r="M330" s="101"/>
      <c r="N330" s="101"/>
      <c r="O330" s="101"/>
      <c r="P330" s="101">
        <f t="shared" si="119"/>
        <v>275250</v>
      </c>
      <c r="Q330" s="101">
        <f t="shared" si="117"/>
        <v>25.022727272727273</v>
      </c>
      <c r="R330" s="101">
        <f t="shared" si="118"/>
        <v>25.022727272727273</v>
      </c>
    </row>
    <row r="331" spans="1:18">
      <c r="B331" s="3" t="s">
        <v>181</v>
      </c>
      <c r="C331" s="2"/>
      <c r="D331" s="111">
        <v>400000</v>
      </c>
      <c r="E331" s="230">
        <v>400000</v>
      </c>
      <c r="F331" s="101">
        <v>123413.32</v>
      </c>
      <c r="G331" s="101"/>
      <c r="H331" s="101"/>
      <c r="I331" s="101"/>
      <c r="J331" s="101"/>
      <c r="K331" s="101"/>
      <c r="L331" s="101"/>
      <c r="M331" s="101"/>
      <c r="N331" s="101"/>
      <c r="O331" s="101"/>
      <c r="P331" s="101">
        <f t="shared" si="119"/>
        <v>123413.32</v>
      </c>
      <c r="Q331" s="101">
        <f t="shared" si="117"/>
        <v>30.85333</v>
      </c>
      <c r="R331" s="101">
        <f t="shared" si="118"/>
        <v>30.85333</v>
      </c>
    </row>
    <row r="332" spans="1:18">
      <c r="B332" s="3" t="s">
        <v>172</v>
      </c>
      <c r="C332" s="2"/>
      <c r="D332" s="111">
        <v>30000</v>
      </c>
      <c r="E332" s="230">
        <v>30000</v>
      </c>
      <c r="F332" s="101">
        <v>0</v>
      </c>
      <c r="G332" s="101"/>
      <c r="H332" s="101"/>
      <c r="I332" s="101"/>
      <c r="J332" s="101"/>
      <c r="K332" s="101"/>
      <c r="L332" s="101"/>
      <c r="M332" s="101"/>
      <c r="N332" s="101"/>
      <c r="O332" s="101"/>
      <c r="P332" s="101">
        <f t="shared" si="119"/>
        <v>0</v>
      </c>
      <c r="Q332" s="101">
        <f t="shared" si="117"/>
        <v>0</v>
      </c>
      <c r="R332" s="101">
        <f t="shared" si="118"/>
        <v>0</v>
      </c>
    </row>
    <row r="333" spans="1:18">
      <c r="B333" s="3" t="s">
        <v>160</v>
      </c>
      <c r="C333" s="2"/>
      <c r="D333" s="111">
        <v>100000</v>
      </c>
      <c r="E333" s="230">
        <v>100000</v>
      </c>
      <c r="F333" s="101">
        <v>5870</v>
      </c>
      <c r="G333" s="101"/>
      <c r="H333" s="101"/>
      <c r="I333" s="101"/>
      <c r="J333" s="101"/>
      <c r="K333" s="101"/>
      <c r="L333" s="101"/>
      <c r="M333" s="101"/>
      <c r="N333" s="101"/>
      <c r="O333" s="101"/>
      <c r="P333" s="101">
        <f t="shared" si="119"/>
        <v>5870</v>
      </c>
      <c r="Q333" s="101">
        <f t="shared" si="117"/>
        <v>5.87</v>
      </c>
      <c r="R333" s="101">
        <f t="shared" si="118"/>
        <v>5.87</v>
      </c>
    </row>
    <row r="334" spans="1:18">
      <c r="B334" s="3" t="s">
        <v>173</v>
      </c>
      <c r="C334" s="2"/>
      <c r="D334" s="111">
        <v>500000</v>
      </c>
      <c r="E334" s="230">
        <v>500000</v>
      </c>
      <c r="F334" s="101">
        <v>136548.82999999999</v>
      </c>
      <c r="G334" s="101"/>
      <c r="H334" s="101"/>
      <c r="I334" s="101"/>
      <c r="J334" s="101"/>
      <c r="K334" s="101"/>
      <c r="L334" s="101"/>
      <c r="M334" s="101"/>
      <c r="N334" s="101"/>
      <c r="O334" s="101"/>
      <c r="P334" s="101">
        <f t="shared" si="119"/>
        <v>136548.82999999999</v>
      </c>
      <c r="Q334" s="101">
        <f t="shared" si="117"/>
        <v>27.309765999999996</v>
      </c>
      <c r="R334" s="101">
        <f t="shared" si="118"/>
        <v>27.309765999999996</v>
      </c>
    </row>
    <row r="335" spans="1:18">
      <c r="B335" s="4" t="s">
        <v>507</v>
      </c>
      <c r="C335" s="2"/>
      <c r="D335" s="111">
        <v>1200000</v>
      </c>
      <c r="E335" s="230">
        <v>1200000</v>
      </c>
      <c r="F335" s="101">
        <v>3751</v>
      </c>
      <c r="G335" s="101"/>
      <c r="H335" s="101"/>
      <c r="I335" s="101"/>
      <c r="J335" s="101"/>
      <c r="K335" s="101"/>
      <c r="L335" s="101"/>
      <c r="M335" s="101"/>
      <c r="N335" s="101"/>
      <c r="O335" s="101"/>
      <c r="P335" s="101">
        <f t="shared" si="119"/>
        <v>3751</v>
      </c>
      <c r="Q335" s="101">
        <f t="shared" ref="Q335" si="120">(P335/D335)*100</f>
        <v>0.31258333333333332</v>
      </c>
      <c r="R335" s="101">
        <f t="shared" ref="R335" si="121">(P335/E335)*100</f>
        <v>0.31258333333333332</v>
      </c>
    </row>
    <row r="336" spans="1:18">
      <c r="B336" s="5" t="s">
        <v>3</v>
      </c>
      <c r="C336" s="2"/>
      <c r="D336" s="213">
        <f>SUM(D328:D335)</f>
        <v>3480000</v>
      </c>
      <c r="E336" s="213">
        <f t="shared" ref="E336:P336" si="122">SUM(E328:E335)</f>
        <v>3480000</v>
      </c>
      <c r="F336" s="213">
        <f t="shared" si="122"/>
        <v>557343.15</v>
      </c>
      <c r="G336" s="213">
        <f t="shared" si="122"/>
        <v>0</v>
      </c>
      <c r="H336" s="213">
        <f t="shared" si="122"/>
        <v>0</v>
      </c>
      <c r="I336" s="213">
        <f t="shared" si="122"/>
        <v>0</v>
      </c>
      <c r="J336" s="213">
        <f t="shared" si="122"/>
        <v>0</v>
      </c>
      <c r="K336" s="213">
        <f t="shared" si="122"/>
        <v>0</v>
      </c>
      <c r="L336" s="213">
        <f t="shared" si="122"/>
        <v>0</v>
      </c>
      <c r="M336" s="213">
        <f t="shared" si="122"/>
        <v>0</v>
      </c>
      <c r="N336" s="213">
        <f t="shared" si="122"/>
        <v>0</v>
      </c>
      <c r="O336" s="213">
        <f t="shared" si="122"/>
        <v>0</v>
      </c>
      <c r="P336" s="213">
        <f t="shared" si="122"/>
        <v>557343.15</v>
      </c>
      <c r="Q336" s="213">
        <f>(P336/D336)*100</f>
        <v>16.015607758620689</v>
      </c>
      <c r="R336" s="213">
        <f>(P336/E336)*100</f>
        <v>16.015607758620689</v>
      </c>
    </row>
    <row r="339" spans="1:18" ht="38.25">
      <c r="A339" s="12" t="s">
        <v>156</v>
      </c>
      <c r="B339" s="77" t="s">
        <v>544</v>
      </c>
      <c r="C339" s="2"/>
      <c r="D339" s="85" t="s">
        <v>490</v>
      </c>
      <c r="E339" s="203" t="s">
        <v>493</v>
      </c>
      <c r="F339" s="204" t="s">
        <v>492</v>
      </c>
      <c r="G339" s="204" t="s">
        <v>497</v>
      </c>
      <c r="H339" s="204" t="s">
        <v>505</v>
      </c>
      <c r="I339" s="204" t="s">
        <v>498</v>
      </c>
      <c r="J339" s="204" t="s">
        <v>499</v>
      </c>
      <c r="K339" s="204" t="s">
        <v>500</v>
      </c>
      <c r="L339" s="204" t="s">
        <v>501</v>
      </c>
      <c r="M339" s="204" t="s">
        <v>502</v>
      </c>
      <c r="N339" s="204" t="s">
        <v>503</v>
      </c>
      <c r="O339" s="204" t="s">
        <v>504</v>
      </c>
      <c r="P339" s="204" t="s">
        <v>496</v>
      </c>
      <c r="Q339" s="204" t="s">
        <v>543</v>
      </c>
      <c r="R339" s="205" t="s">
        <v>495</v>
      </c>
    </row>
    <row r="340" spans="1:18">
      <c r="A340" s="2" t="s">
        <v>532</v>
      </c>
      <c r="B340" s="4" t="s">
        <v>507</v>
      </c>
      <c r="C340" s="2"/>
      <c r="D340" s="111">
        <v>200000</v>
      </c>
      <c r="E340" s="230">
        <v>200000</v>
      </c>
      <c r="F340" s="101">
        <v>0</v>
      </c>
      <c r="G340" s="101"/>
      <c r="H340" s="101"/>
      <c r="I340" s="101"/>
      <c r="J340" s="101"/>
      <c r="K340" s="101"/>
      <c r="L340" s="101"/>
      <c r="M340" s="101"/>
      <c r="N340" s="101"/>
      <c r="O340" s="101"/>
      <c r="P340" s="101">
        <f>SUM(F340:O340)</f>
        <v>0</v>
      </c>
      <c r="Q340" s="101">
        <f t="shared" ref="Q340" si="123">(P340/D340)*100</f>
        <v>0</v>
      </c>
      <c r="R340" s="101">
        <f t="shared" ref="R340" si="124">(P340/E340)*100</f>
        <v>0</v>
      </c>
    </row>
    <row r="341" spans="1:18">
      <c r="B341" s="5" t="s">
        <v>3</v>
      </c>
      <c r="C341" s="2"/>
      <c r="D341" s="213">
        <f>SUM(D340)</f>
        <v>200000</v>
      </c>
      <c r="E341" s="213">
        <f t="shared" ref="E341:P341" si="125">SUM(E340)</f>
        <v>200000</v>
      </c>
      <c r="F341" s="213">
        <f t="shared" si="125"/>
        <v>0</v>
      </c>
      <c r="G341" s="213">
        <f t="shared" si="125"/>
        <v>0</v>
      </c>
      <c r="H341" s="213">
        <f t="shared" si="125"/>
        <v>0</v>
      </c>
      <c r="I341" s="213">
        <f t="shared" si="125"/>
        <v>0</v>
      </c>
      <c r="J341" s="213">
        <f t="shared" si="125"/>
        <v>0</v>
      </c>
      <c r="K341" s="213">
        <f t="shared" si="125"/>
        <v>0</v>
      </c>
      <c r="L341" s="213">
        <f t="shared" si="125"/>
        <v>0</v>
      </c>
      <c r="M341" s="213">
        <f t="shared" si="125"/>
        <v>0</v>
      </c>
      <c r="N341" s="213">
        <f t="shared" si="125"/>
        <v>0</v>
      </c>
      <c r="O341" s="213">
        <f t="shared" si="125"/>
        <v>0</v>
      </c>
      <c r="P341" s="213">
        <f t="shared" si="125"/>
        <v>0</v>
      </c>
      <c r="Q341" s="213">
        <f>(P341/D341)*100</f>
        <v>0</v>
      </c>
      <c r="R341" s="213">
        <f>(P341/E341)*100</f>
        <v>0</v>
      </c>
    </row>
    <row r="344" spans="1:18" ht="38.25">
      <c r="A344" s="12" t="s">
        <v>156</v>
      </c>
      <c r="B344" s="77" t="s">
        <v>274</v>
      </c>
      <c r="C344" s="2"/>
      <c r="D344" s="85" t="s">
        <v>490</v>
      </c>
      <c r="E344" s="203" t="s">
        <v>493</v>
      </c>
      <c r="F344" s="204" t="s">
        <v>492</v>
      </c>
      <c r="G344" s="204" t="s">
        <v>497</v>
      </c>
      <c r="H344" s="204" t="s">
        <v>505</v>
      </c>
      <c r="I344" s="204" t="s">
        <v>498</v>
      </c>
      <c r="J344" s="204" t="s">
        <v>499</v>
      </c>
      <c r="K344" s="204" t="s">
        <v>500</v>
      </c>
      <c r="L344" s="204" t="s">
        <v>501</v>
      </c>
      <c r="M344" s="204" t="s">
        <v>502</v>
      </c>
      <c r="N344" s="204" t="s">
        <v>503</v>
      </c>
      <c r="O344" s="204" t="s">
        <v>504</v>
      </c>
      <c r="P344" s="204" t="s">
        <v>496</v>
      </c>
      <c r="Q344" s="204" t="s">
        <v>543</v>
      </c>
      <c r="R344" s="205" t="s">
        <v>495</v>
      </c>
    </row>
    <row r="345" spans="1:18">
      <c r="A345" s="12" t="s">
        <v>275</v>
      </c>
      <c r="B345" s="3" t="s">
        <v>181</v>
      </c>
      <c r="C345" s="2"/>
      <c r="D345" s="111">
        <v>300000</v>
      </c>
      <c r="E345" s="230">
        <v>300000</v>
      </c>
      <c r="F345" s="101">
        <v>85245.86</v>
      </c>
      <c r="G345" s="101"/>
      <c r="H345" s="101"/>
      <c r="I345" s="101"/>
      <c r="J345" s="101"/>
      <c r="K345" s="101"/>
      <c r="L345" s="101"/>
      <c r="M345" s="101"/>
      <c r="N345" s="101"/>
      <c r="O345" s="101"/>
      <c r="P345" s="101">
        <f>SUM(F345:O345)</f>
        <v>85245.86</v>
      </c>
      <c r="Q345" s="101">
        <f>(P345/D345)*100</f>
        <v>28.415286666666667</v>
      </c>
      <c r="R345" s="101">
        <f t="shared" ref="R345:R347" si="126">(P345/E345)*100</f>
        <v>28.415286666666667</v>
      </c>
    </row>
    <row r="346" spans="1:18">
      <c r="B346" s="67" t="s">
        <v>276</v>
      </c>
      <c r="C346" s="2"/>
      <c r="D346" s="111">
        <v>120000</v>
      </c>
      <c r="E346" s="230">
        <v>120000</v>
      </c>
      <c r="F346" s="101">
        <v>0</v>
      </c>
      <c r="G346" s="101"/>
      <c r="H346" s="101"/>
      <c r="I346" s="101"/>
      <c r="J346" s="101"/>
      <c r="K346" s="101"/>
      <c r="L346" s="101"/>
      <c r="M346" s="101"/>
      <c r="N346" s="101"/>
      <c r="O346" s="101"/>
      <c r="P346" s="101">
        <f t="shared" ref="P346:P348" si="127">SUM(F346:O346)</f>
        <v>0</v>
      </c>
      <c r="Q346" s="101">
        <f t="shared" ref="Q346:Q347" si="128">(P346/D346)*100</f>
        <v>0</v>
      </c>
      <c r="R346" s="101">
        <f t="shared" si="126"/>
        <v>0</v>
      </c>
    </row>
    <row r="347" spans="1:18">
      <c r="B347" s="81" t="s">
        <v>173</v>
      </c>
      <c r="C347" s="2"/>
      <c r="D347" s="111">
        <v>180000</v>
      </c>
      <c r="E347" s="230">
        <v>180000</v>
      </c>
      <c r="F347" s="101">
        <v>13288</v>
      </c>
      <c r="G347" s="101"/>
      <c r="H347" s="101"/>
      <c r="I347" s="101"/>
      <c r="J347" s="101"/>
      <c r="K347" s="101"/>
      <c r="L347" s="101"/>
      <c r="M347" s="101"/>
      <c r="N347" s="101"/>
      <c r="O347" s="101"/>
      <c r="P347" s="101">
        <f t="shared" si="127"/>
        <v>13288</v>
      </c>
      <c r="Q347" s="101">
        <f t="shared" si="128"/>
        <v>7.3822222222222216</v>
      </c>
      <c r="R347" s="101">
        <f t="shared" si="126"/>
        <v>7.3822222222222216</v>
      </c>
    </row>
    <row r="348" spans="1:18">
      <c r="B348" s="4" t="s">
        <v>507</v>
      </c>
      <c r="C348" s="2"/>
      <c r="D348" s="111">
        <v>100000</v>
      </c>
      <c r="E348" s="230">
        <v>100000</v>
      </c>
      <c r="F348" s="101">
        <v>0</v>
      </c>
      <c r="G348" s="101"/>
      <c r="H348" s="101"/>
      <c r="I348" s="101"/>
      <c r="J348" s="101"/>
      <c r="K348" s="101"/>
      <c r="L348" s="101"/>
      <c r="M348" s="101"/>
      <c r="N348" s="101"/>
      <c r="O348" s="101"/>
      <c r="P348" s="101">
        <f t="shared" si="127"/>
        <v>0</v>
      </c>
      <c r="Q348" s="101">
        <f t="shared" ref="Q348" si="129">(P348/D348)*100</f>
        <v>0</v>
      </c>
      <c r="R348" s="101">
        <f t="shared" ref="R348" si="130">(P348/E348)*100</f>
        <v>0</v>
      </c>
    </row>
    <row r="349" spans="1:18">
      <c r="B349" s="5" t="s">
        <v>3</v>
      </c>
      <c r="C349" s="2"/>
      <c r="D349" s="213">
        <f>SUM(D345:D348)</f>
        <v>700000</v>
      </c>
      <c r="E349" s="213">
        <f t="shared" ref="E349:P349" si="131">SUM(E345:E348)</f>
        <v>700000</v>
      </c>
      <c r="F349" s="213">
        <f t="shared" si="131"/>
        <v>98533.86</v>
      </c>
      <c r="G349" s="213">
        <f t="shared" si="131"/>
        <v>0</v>
      </c>
      <c r="H349" s="213">
        <f t="shared" si="131"/>
        <v>0</v>
      </c>
      <c r="I349" s="213">
        <f t="shared" si="131"/>
        <v>0</v>
      </c>
      <c r="J349" s="213">
        <f t="shared" si="131"/>
        <v>0</v>
      </c>
      <c r="K349" s="213">
        <f t="shared" si="131"/>
        <v>0</v>
      </c>
      <c r="L349" s="213">
        <f t="shared" si="131"/>
        <v>0</v>
      </c>
      <c r="M349" s="213">
        <f t="shared" si="131"/>
        <v>0</v>
      </c>
      <c r="N349" s="213">
        <f t="shared" si="131"/>
        <v>0</v>
      </c>
      <c r="O349" s="213">
        <f t="shared" si="131"/>
        <v>0</v>
      </c>
      <c r="P349" s="213">
        <f t="shared" si="131"/>
        <v>98533.86</v>
      </c>
      <c r="Q349" s="213">
        <f>(P349/D349)*100</f>
        <v>14.076265714285716</v>
      </c>
      <c r="R349" s="213">
        <f>(P349/E349)*100</f>
        <v>14.076265714285716</v>
      </c>
    </row>
    <row r="352" spans="1:18" ht="38.25">
      <c r="A352" s="12" t="s">
        <v>156</v>
      </c>
      <c r="B352" s="77" t="s">
        <v>277</v>
      </c>
      <c r="C352" s="2"/>
      <c r="D352" s="85" t="s">
        <v>490</v>
      </c>
      <c r="E352" s="203" t="s">
        <v>493</v>
      </c>
      <c r="F352" s="204" t="s">
        <v>492</v>
      </c>
      <c r="G352" s="204" t="s">
        <v>497</v>
      </c>
      <c r="H352" s="204" t="s">
        <v>505</v>
      </c>
      <c r="I352" s="204" t="s">
        <v>498</v>
      </c>
      <c r="J352" s="204" t="s">
        <v>499</v>
      </c>
      <c r="K352" s="204" t="s">
        <v>500</v>
      </c>
      <c r="L352" s="204" t="s">
        <v>501</v>
      </c>
      <c r="M352" s="204" t="s">
        <v>502</v>
      </c>
      <c r="N352" s="204" t="s">
        <v>503</v>
      </c>
      <c r="O352" s="204" t="s">
        <v>504</v>
      </c>
      <c r="P352" s="204" t="s">
        <v>496</v>
      </c>
      <c r="Q352" s="204" t="s">
        <v>543</v>
      </c>
      <c r="R352" s="205" t="s">
        <v>495</v>
      </c>
    </row>
    <row r="353" spans="1:18">
      <c r="A353" s="12" t="s">
        <v>278</v>
      </c>
      <c r="B353" s="3" t="s">
        <v>169</v>
      </c>
      <c r="C353" s="2"/>
      <c r="D353" s="111">
        <v>1000</v>
      </c>
      <c r="E353" s="230">
        <v>1000</v>
      </c>
      <c r="F353" s="101">
        <v>0</v>
      </c>
      <c r="G353" s="101"/>
      <c r="H353" s="101"/>
      <c r="I353" s="101"/>
      <c r="J353" s="101"/>
      <c r="K353" s="101"/>
      <c r="L353" s="101"/>
      <c r="M353" s="101"/>
      <c r="N353" s="101"/>
      <c r="O353" s="101"/>
      <c r="P353" s="101">
        <f>SUM(F353:O353)</f>
        <v>0</v>
      </c>
      <c r="Q353" s="101">
        <f>(P353/D353)*100</f>
        <v>0</v>
      </c>
      <c r="R353" s="101">
        <f t="shared" ref="R353" si="132">(P353/E353)*100</f>
        <v>0</v>
      </c>
    </row>
    <row r="354" spans="1:18">
      <c r="B354" s="3" t="s">
        <v>181</v>
      </c>
      <c r="C354" s="2"/>
      <c r="D354" s="111">
        <v>1000</v>
      </c>
      <c r="E354" s="101">
        <v>1000</v>
      </c>
      <c r="F354" s="101">
        <v>0</v>
      </c>
      <c r="G354" s="101"/>
      <c r="H354" s="101"/>
      <c r="I354" s="101"/>
      <c r="J354" s="101"/>
      <c r="K354" s="101"/>
      <c r="L354" s="101"/>
      <c r="M354" s="101"/>
      <c r="N354" s="101"/>
      <c r="O354" s="101"/>
      <c r="P354" s="101">
        <f t="shared" ref="P354:P355" si="133">SUM(F354:O354)</f>
        <v>0</v>
      </c>
      <c r="Q354" s="101">
        <f t="shared" ref="Q354:Q355" si="134">(P354/D354)*100</f>
        <v>0</v>
      </c>
      <c r="R354" s="101">
        <f t="shared" ref="R354:R355" si="135">(P354/E354)*100</f>
        <v>0</v>
      </c>
    </row>
    <row r="355" spans="1:18">
      <c r="B355" s="3" t="s">
        <v>279</v>
      </c>
      <c r="C355" s="2"/>
      <c r="D355" s="111">
        <v>13000</v>
      </c>
      <c r="E355" s="101">
        <v>13000</v>
      </c>
      <c r="F355" s="101">
        <v>0</v>
      </c>
      <c r="G355" s="101"/>
      <c r="H355" s="101"/>
      <c r="I355" s="101"/>
      <c r="J355" s="101"/>
      <c r="K355" s="101"/>
      <c r="L355" s="101"/>
      <c r="M355" s="101"/>
      <c r="N355" s="101"/>
      <c r="O355" s="101"/>
      <c r="P355" s="101">
        <f t="shared" si="133"/>
        <v>0</v>
      </c>
      <c r="Q355" s="101">
        <f t="shared" si="134"/>
        <v>0</v>
      </c>
      <c r="R355" s="101">
        <f t="shared" si="135"/>
        <v>0</v>
      </c>
    </row>
    <row r="356" spans="1:18">
      <c r="B356" s="5" t="s">
        <v>3</v>
      </c>
      <c r="C356" s="2"/>
      <c r="D356" s="213">
        <f>SUM(D353:D355)</f>
        <v>15000</v>
      </c>
      <c r="E356" s="213">
        <f t="shared" ref="E356:P356" si="136">SUM(E353:E355)</f>
        <v>15000</v>
      </c>
      <c r="F356" s="213">
        <f t="shared" si="136"/>
        <v>0</v>
      </c>
      <c r="G356" s="213">
        <f t="shared" si="136"/>
        <v>0</v>
      </c>
      <c r="H356" s="213">
        <f t="shared" si="136"/>
        <v>0</v>
      </c>
      <c r="I356" s="213">
        <f t="shared" si="136"/>
        <v>0</v>
      </c>
      <c r="J356" s="213">
        <f t="shared" si="136"/>
        <v>0</v>
      </c>
      <c r="K356" s="213">
        <f t="shared" si="136"/>
        <v>0</v>
      </c>
      <c r="L356" s="213">
        <f t="shared" si="136"/>
        <v>0</v>
      </c>
      <c r="M356" s="213">
        <f t="shared" si="136"/>
        <v>0</v>
      </c>
      <c r="N356" s="213">
        <f t="shared" si="136"/>
        <v>0</v>
      </c>
      <c r="O356" s="213">
        <f t="shared" si="136"/>
        <v>0</v>
      </c>
      <c r="P356" s="213">
        <f t="shared" si="136"/>
        <v>0</v>
      </c>
      <c r="Q356" s="213">
        <f>(P356/D356)*100</f>
        <v>0</v>
      </c>
      <c r="R356" s="213">
        <f>(P356/E356)*100</f>
        <v>0</v>
      </c>
    </row>
    <row r="359" spans="1:18" ht="38.25">
      <c r="A359" s="12" t="s">
        <v>156</v>
      </c>
      <c r="B359" s="77" t="s">
        <v>513</v>
      </c>
      <c r="C359" s="2"/>
      <c r="D359" s="85" t="s">
        <v>490</v>
      </c>
      <c r="E359" s="203" t="s">
        <v>493</v>
      </c>
      <c r="F359" s="204" t="s">
        <v>492</v>
      </c>
      <c r="G359" s="204" t="s">
        <v>497</v>
      </c>
      <c r="H359" s="204" t="s">
        <v>505</v>
      </c>
      <c r="I359" s="204" t="s">
        <v>498</v>
      </c>
      <c r="J359" s="204" t="s">
        <v>499</v>
      </c>
      <c r="K359" s="204" t="s">
        <v>500</v>
      </c>
      <c r="L359" s="204" t="s">
        <v>501</v>
      </c>
      <c r="M359" s="204" t="s">
        <v>502</v>
      </c>
      <c r="N359" s="204" t="s">
        <v>503</v>
      </c>
      <c r="O359" s="204" t="s">
        <v>504</v>
      </c>
      <c r="P359" s="204" t="s">
        <v>496</v>
      </c>
      <c r="Q359" s="204" t="s">
        <v>543</v>
      </c>
      <c r="R359" s="205" t="s">
        <v>495</v>
      </c>
    </row>
    <row r="360" spans="1:18">
      <c r="A360" s="2" t="s">
        <v>516</v>
      </c>
      <c r="B360" s="4" t="s">
        <v>517</v>
      </c>
      <c r="C360" s="2"/>
      <c r="D360" s="111">
        <v>300000</v>
      </c>
      <c r="E360" s="230">
        <v>300000</v>
      </c>
      <c r="F360" s="101">
        <v>0</v>
      </c>
      <c r="G360" s="101"/>
      <c r="H360" s="101"/>
      <c r="I360" s="101"/>
      <c r="J360" s="101"/>
      <c r="K360" s="101"/>
      <c r="L360" s="101"/>
      <c r="M360" s="101"/>
      <c r="N360" s="101"/>
      <c r="O360" s="101"/>
      <c r="P360" s="101">
        <f>SUM(F360:O360)</f>
        <v>0</v>
      </c>
      <c r="Q360" s="101">
        <v>0</v>
      </c>
      <c r="R360" s="101">
        <f t="shared" ref="R360" si="137">(P360/E360)*100</f>
        <v>0</v>
      </c>
    </row>
    <row r="361" spans="1:18">
      <c r="B361" s="5" t="s">
        <v>3</v>
      </c>
      <c r="C361" s="2"/>
      <c r="D361" s="213">
        <f>SUM(D360)</f>
        <v>300000</v>
      </c>
      <c r="E361" s="213">
        <f t="shared" ref="E361:P361" si="138">SUM(E360)</f>
        <v>300000</v>
      </c>
      <c r="F361" s="213">
        <f t="shared" si="138"/>
        <v>0</v>
      </c>
      <c r="G361" s="213">
        <f t="shared" si="138"/>
        <v>0</v>
      </c>
      <c r="H361" s="213">
        <f t="shared" si="138"/>
        <v>0</v>
      </c>
      <c r="I361" s="213">
        <f t="shared" si="138"/>
        <v>0</v>
      </c>
      <c r="J361" s="213">
        <f t="shared" si="138"/>
        <v>0</v>
      </c>
      <c r="K361" s="213">
        <f t="shared" si="138"/>
        <v>0</v>
      </c>
      <c r="L361" s="213">
        <f t="shared" si="138"/>
        <v>0</v>
      </c>
      <c r="M361" s="213">
        <f t="shared" si="138"/>
        <v>0</v>
      </c>
      <c r="N361" s="213">
        <f t="shared" si="138"/>
        <v>0</v>
      </c>
      <c r="O361" s="213">
        <f t="shared" si="138"/>
        <v>0</v>
      </c>
      <c r="P361" s="213">
        <f t="shared" si="138"/>
        <v>0</v>
      </c>
      <c r="Q361" s="213">
        <v>0</v>
      </c>
      <c r="R361" s="213">
        <f>(P361/E361)*100</f>
        <v>0</v>
      </c>
    </row>
    <row r="364" spans="1:18" ht="38.25">
      <c r="A364" s="12" t="s">
        <v>156</v>
      </c>
      <c r="B364" s="77" t="s">
        <v>535</v>
      </c>
      <c r="C364" s="2"/>
      <c r="D364" s="85" t="s">
        <v>490</v>
      </c>
      <c r="E364" s="203" t="s">
        <v>493</v>
      </c>
      <c r="F364" s="204" t="s">
        <v>492</v>
      </c>
      <c r="G364" s="204" t="s">
        <v>497</v>
      </c>
      <c r="H364" s="204" t="s">
        <v>505</v>
      </c>
      <c r="I364" s="204" t="s">
        <v>498</v>
      </c>
      <c r="J364" s="204" t="s">
        <v>499</v>
      </c>
      <c r="K364" s="204" t="s">
        <v>500</v>
      </c>
      <c r="L364" s="204" t="s">
        <v>501</v>
      </c>
      <c r="M364" s="204" t="s">
        <v>502</v>
      </c>
      <c r="N364" s="204" t="s">
        <v>503</v>
      </c>
      <c r="O364" s="204" t="s">
        <v>504</v>
      </c>
      <c r="P364" s="204" t="s">
        <v>496</v>
      </c>
      <c r="Q364" s="204" t="s">
        <v>543</v>
      </c>
      <c r="R364" s="205" t="s">
        <v>495</v>
      </c>
    </row>
    <row r="365" spans="1:18">
      <c r="A365" s="2" t="s">
        <v>534</v>
      </c>
      <c r="B365" s="4" t="s">
        <v>517</v>
      </c>
      <c r="C365" s="2"/>
      <c r="D365" s="111">
        <v>200000</v>
      </c>
      <c r="E365" s="230">
        <v>0</v>
      </c>
      <c r="F365" s="101">
        <v>0</v>
      </c>
      <c r="G365" s="101"/>
      <c r="H365" s="101"/>
      <c r="I365" s="101"/>
      <c r="J365" s="101"/>
      <c r="K365" s="101"/>
      <c r="L365" s="101"/>
      <c r="M365" s="101"/>
      <c r="N365" s="101"/>
      <c r="O365" s="101"/>
      <c r="P365" s="101">
        <f>SUM(F365:O365)</f>
        <v>0</v>
      </c>
      <c r="Q365" s="101">
        <v>0</v>
      </c>
      <c r="R365" s="101" t="e">
        <f t="shared" ref="R365" si="139">(P365/E365)*100</f>
        <v>#DIV/0!</v>
      </c>
    </row>
    <row r="366" spans="1:18">
      <c r="B366" s="5" t="s">
        <v>3</v>
      </c>
      <c r="C366" s="2"/>
      <c r="D366" s="213">
        <f>SUM(D365)</f>
        <v>200000</v>
      </c>
      <c r="E366" s="213">
        <f t="shared" ref="E366" si="140">SUM(E365)</f>
        <v>0</v>
      </c>
      <c r="F366" s="213">
        <f t="shared" ref="F366" si="141">SUM(F365)</f>
        <v>0</v>
      </c>
      <c r="G366" s="213">
        <f t="shared" ref="G366" si="142">SUM(G365)</f>
        <v>0</v>
      </c>
      <c r="H366" s="213">
        <f t="shared" ref="H366" si="143">SUM(H365)</f>
        <v>0</v>
      </c>
      <c r="I366" s="213">
        <f t="shared" ref="I366" si="144">SUM(I365)</f>
        <v>0</v>
      </c>
      <c r="J366" s="213">
        <f t="shared" ref="J366" si="145">SUM(J365)</f>
        <v>0</v>
      </c>
      <c r="K366" s="213">
        <f t="shared" ref="K366" si="146">SUM(K365)</f>
        <v>0</v>
      </c>
      <c r="L366" s="213">
        <f t="shared" ref="L366" si="147">SUM(L365)</f>
        <v>0</v>
      </c>
      <c r="M366" s="213">
        <f t="shared" ref="M366" si="148">SUM(M365)</f>
        <v>0</v>
      </c>
      <c r="N366" s="213">
        <f t="shared" ref="N366" si="149">SUM(N365)</f>
        <v>0</v>
      </c>
      <c r="O366" s="213">
        <f t="shared" ref="O366" si="150">SUM(O365)</f>
        <v>0</v>
      </c>
      <c r="P366" s="213">
        <f t="shared" ref="P366" si="151">SUM(P365)</f>
        <v>0</v>
      </c>
      <c r="Q366" s="213">
        <v>0</v>
      </c>
      <c r="R366" s="213" t="e">
        <f>(P366/E366)*100</f>
        <v>#DIV/0!</v>
      </c>
    </row>
    <row r="369" spans="1:18" ht="38.25">
      <c r="A369" s="12" t="s">
        <v>156</v>
      </c>
      <c r="B369" s="77" t="s">
        <v>519</v>
      </c>
      <c r="C369" s="2"/>
      <c r="D369" s="85" t="s">
        <v>490</v>
      </c>
      <c r="E369" s="203" t="s">
        <v>493</v>
      </c>
      <c r="F369" s="204" t="s">
        <v>492</v>
      </c>
      <c r="G369" s="204" t="s">
        <v>497</v>
      </c>
      <c r="H369" s="204" t="s">
        <v>505</v>
      </c>
      <c r="I369" s="204" t="s">
        <v>498</v>
      </c>
      <c r="J369" s="204" t="s">
        <v>499</v>
      </c>
      <c r="K369" s="204" t="s">
        <v>500</v>
      </c>
      <c r="L369" s="204" t="s">
        <v>501</v>
      </c>
      <c r="M369" s="204" t="s">
        <v>502</v>
      </c>
      <c r="N369" s="204" t="s">
        <v>503</v>
      </c>
      <c r="O369" s="204" t="s">
        <v>504</v>
      </c>
      <c r="P369" s="204" t="s">
        <v>496</v>
      </c>
      <c r="Q369" s="204" t="s">
        <v>543</v>
      </c>
      <c r="R369" s="205" t="s">
        <v>495</v>
      </c>
    </row>
    <row r="370" spans="1:18">
      <c r="A370" s="2" t="s">
        <v>514</v>
      </c>
      <c r="B370" s="4" t="s">
        <v>515</v>
      </c>
      <c r="C370" s="2"/>
      <c r="D370" s="111">
        <v>0</v>
      </c>
      <c r="E370" s="230">
        <v>200000</v>
      </c>
      <c r="F370" s="101">
        <v>0</v>
      </c>
      <c r="G370" s="101"/>
      <c r="H370" s="101"/>
      <c r="I370" s="101"/>
      <c r="J370" s="101"/>
      <c r="K370" s="101"/>
      <c r="L370" s="101"/>
      <c r="M370" s="101"/>
      <c r="N370" s="101"/>
      <c r="O370" s="101"/>
      <c r="P370" s="101">
        <f>SUM(F370:O370)</f>
        <v>0</v>
      </c>
      <c r="Q370" s="101">
        <v>0</v>
      </c>
      <c r="R370" s="101">
        <f t="shared" ref="R370" si="152">(P370/E370)*100</f>
        <v>0</v>
      </c>
    </row>
    <row r="371" spans="1:18">
      <c r="B371" s="5" t="s">
        <v>3</v>
      </c>
      <c r="C371" s="2"/>
      <c r="D371" s="213">
        <f>SUM(D370)</f>
        <v>0</v>
      </c>
      <c r="E371" s="213">
        <f t="shared" ref="E371:P371" si="153">SUM(E370)</f>
        <v>200000</v>
      </c>
      <c r="F371" s="213">
        <f t="shared" si="153"/>
        <v>0</v>
      </c>
      <c r="G371" s="213">
        <f t="shared" si="153"/>
        <v>0</v>
      </c>
      <c r="H371" s="213">
        <f t="shared" si="153"/>
        <v>0</v>
      </c>
      <c r="I371" s="213">
        <f t="shared" si="153"/>
        <v>0</v>
      </c>
      <c r="J371" s="213">
        <f t="shared" si="153"/>
        <v>0</v>
      </c>
      <c r="K371" s="213">
        <f t="shared" si="153"/>
        <v>0</v>
      </c>
      <c r="L371" s="213">
        <f t="shared" si="153"/>
        <v>0</v>
      </c>
      <c r="M371" s="213">
        <f t="shared" si="153"/>
        <v>0</v>
      </c>
      <c r="N371" s="213">
        <f t="shared" si="153"/>
        <v>0</v>
      </c>
      <c r="O371" s="213">
        <f t="shared" si="153"/>
        <v>0</v>
      </c>
      <c r="P371" s="213">
        <f t="shared" si="153"/>
        <v>0</v>
      </c>
      <c r="Q371" s="213">
        <v>0</v>
      </c>
      <c r="R371" s="213">
        <f>(P371/E371)*100</f>
        <v>0</v>
      </c>
    </row>
    <row r="374" spans="1:18" ht="38.25">
      <c r="B374" s="77" t="s">
        <v>380</v>
      </c>
      <c r="C374" s="2"/>
      <c r="D374" s="85" t="s">
        <v>490</v>
      </c>
      <c r="E374" s="203" t="s">
        <v>493</v>
      </c>
      <c r="F374" s="204" t="s">
        <v>492</v>
      </c>
      <c r="G374" s="204" t="s">
        <v>497</v>
      </c>
      <c r="H374" s="204" t="s">
        <v>505</v>
      </c>
      <c r="I374" s="204" t="s">
        <v>498</v>
      </c>
      <c r="J374" s="204" t="s">
        <v>499</v>
      </c>
      <c r="K374" s="204" t="s">
        <v>500</v>
      </c>
      <c r="L374" s="204" t="s">
        <v>501</v>
      </c>
      <c r="M374" s="204" t="s">
        <v>502</v>
      </c>
      <c r="N374" s="204" t="s">
        <v>503</v>
      </c>
      <c r="O374" s="204" t="s">
        <v>504</v>
      </c>
      <c r="P374" s="204" t="s">
        <v>496</v>
      </c>
      <c r="Q374" s="204" t="s">
        <v>543</v>
      </c>
      <c r="R374" s="205" t="s">
        <v>495</v>
      </c>
    </row>
    <row r="375" spans="1:18">
      <c r="A375" s="12" t="s">
        <v>280</v>
      </c>
      <c r="B375" s="3" t="s">
        <v>169</v>
      </c>
      <c r="C375" s="2"/>
      <c r="D375" s="111">
        <v>1000</v>
      </c>
      <c r="E375" s="230">
        <v>1000</v>
      </c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>
        <f>SUM(F375:O375)</f>
        <v>0</v>
      </c>
      <c r="Q375" s="101">
        <f>(P375/D375)*100</f>
        <v>0</v>
      </c>
      <c r="R375" s="101">
        <f t="shared" ref="R375" si="154">(P375/E375)*100</f>
        <v>0</v>
      </c>
    </row>
    <row r="376" spans="1:18">
      <c r="B376" s="3" t="s">
        <v>181</v>
      </c>
      <c r="C376" s="2"/>
      <c r="D376" s="111">
        <v>9000</v>
      </c>
      <c r="E376" s="230">
        <v>9000</v>
      </c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>
        <f t="shared" ref="P376:P378" si="155">SUM(F376:O376)</f>
        <v>0</v>
      </c>
      <c r="Q376" s="101">
        <f t="shared" ref="Q376:Q378" si="156">(P376/D376)*100</f>
        <v>0</v>
      </c>
      <c r="R376" s="101">
        <f t="shared" ref="R376:R378" si="157">(P376/E376)*100</f>
        <v>0</v>
      </c>
    </row>
    <row r="377" spans="1:18">
      <c r="B377" s="67" t="s">
        <v>281</v>
      </c>
      <c r="C377" s="2"/>
      <c r="D377" s="111">
        <v>3100000</v>
      </c>
      <c r="E377" s="230">
        <v>3100000</v>
      </c>
      <c r="F377" s="101">
        <v>437194.97</v>
      </c>
      <c r="G377" s="101"/>
      <c r="H377" s="101"/>
      <c r="I377" s="101"/>
      <c r="J377" s="101"/>
      <c r="K377" s="101"/>
      <c r="L377" s="101"/>
      <c r="M377" s="101"/>
      <c r="N377" s="101"/>
      <c r="O377" s="101"/>
      <c r="P377" s="101">
        <f t="shared" si="155"/>
        <v>437194.97</v>
      </c>
      <c r="Q377" s="101">
        <f t="shared" si="156"/>
        <v>14.103063548387096</v>
      </c>
      <c r="R377" s="101">
        <f t="shared" si="157"/>
        <v>14.103063548387096</v>
      </c>
    </row>
    <row r="378" spans="1:18">
      <c r="B378" s="3" t="s">
        <v>173</v>
      </c>
      <c r="C378" s="2"/>
      <c r="D378" s="111">
        <v>20000</v>
      </c>
      <c r="E378" s="230">
        <v>20000</v>
      </c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>
        <f t="shared" si="155"/>
        <v>0</v>
      </c>
      <c r="Q378" s="101">
        <f t="shared" si="156"/>
        <v>0</v>
      </c>
      <c r="R378" s="101">
        <f t="shared" si="157"/>
        <v>0</v>
      </c>
    </row>
    <row r="379" spans="1:18">
      <c r="B379" s="5" t="s">
        <v>3</v>
      </c>
      <c r="C379" s="2"/>
      <c r="D379" s="213">
        <f>SUM(D375:D378)</f>
        <v>3130000</v>
      </c>
      <c r="E379" s="213">
        <f t="shared" ref="E379:P379" si="158">SUM(E375:E378)</f>
        <v>3130000</v>
      </c>
      <c r="F379" s="213">
        <f t="shared" si="158"/>
        <v>437194.97</v>
      </c>
      <c r="G379" s="213">
        <f t="shared" si="158"/>
        <v>0</v>
      </c>
      <c r="H379" s="213">
        <f t="shared" si="158"/>
        <v>0</v>
      </c>
      <c r="I379" s="213">
        <f t="shared" si="158"/>
        <v>0</v>
      </c>
      <c r="J379" s="213">
        <f t="shared" si="158"/>
        <v>0</v>
      </c>
      <c r="K379" s="213">
        <f t="shared" si="158"/>
        <v>0</v>
      </c>
      <c r="L379" s="213">
        <f t="shared" si="158"/>
        <v>0</v>
      </c>
      <c r="M379" s="213">
        <f t="shared" si="158"/>
        <v>0</v>
      </c>
      <c r="N379" s="213">
        <f t="shared" si="158"/>
        <v>0</v>
      </c>
      <c r="O379" s="213">
        <f t="shared" si="158"/>
        <v>0</v>
      </c>
      <c r="P379" s="213">
        <f t="shared" si="158"/>
        <v>437194.97</v>
      </c>
      <c r="Q379" s="213">
        <f>(P379/D379)*100</f>
        <v>13.967890415335463</v>
      </c>
      <c r="R379" s="213">
        <f>(P379/E379)*100</f>
        <v>13.967890415335463</v>
      </c>
    </row>
    <row r="382" spans="1:18" ht="38.25">
      <c r="A382" s="12" t="s">
        <v>156</v>
      </c>
      <c r="B382" s="77" t="s">
        <v>381</v>
      </c>
      <c r="C382" s="2"/>
      <c r="D382" s="85" t="s">
        <v>490</v>
      </c>
      <c r="E382" s="203" t="s">
        <v>493</v>
      </c>
      <c r="F382" s="204" t="s">
        <v>492</v>
      </c>
      <c r="G382" s="204" t="s">
        <v>497</v>
      </c>
      <c r="H382" s="204" t="s">
        <v>505</v>
      </c>
      <c r="I382" s="204" t="s">
        <v>498</v>
      </c>
      <c r="J382" s="204" t="s">
        <v>499</v>
      </c>
      <c r="K382" s="204" t="s">
        <v>500</v>
      </c>
      <c r="L382" s="204" t="s">
        <v>501</v>
      </c>
      <c r="M382" s="204" t="s">
        <v>502</v>
      </c>
      <c r="N382" s="204" t="s">
        <v>503</v>
      </c>
      <c r="O382" s="204" t="s">
        <v>504</v>
      </c>
      <c r="P382" s="204" t="s">
        <v>496</v>
      </c>
      <c r="Q382" s="204" t="s">
        <v>543</v>
      </c>
      <c r="R382" s="205" t="s">
        <v>495</v>
      </c>
    </row>
    <row r="383" spans="1:18">
      <c r="A383" s="12" t="s">
        <v>282</v>
      </c>
      <c r="B383" s="3" t="s">
        <v>235</v>
      </c>
      <c r="C383" s="2"/>
      <c r="D383" s="111">
        <v>2550000</v>
      </c>
      <c r="E383" s="230">
        <v>2581420</v>
      </c>
      <c r="F383" s="101">
        <v>512396</v>
      </c>
      <c r="G383" s="101"/>
      <c r="H383" s="101"/>
      <c r="I383" s="101"/>
      <c r="J383" s="101"/>
      <c r="K383" s="101"/>
      <c r="L383" s="101"/>
      <c r="M383" s="101"/>
      <c r="N383" s="101"/>
      <c r="O383" s="101"/>
      <c r="P383" s="101">
        <f>SUM(F383:O383)</f>
        <v>512396</v>
      </c>
      <c r="Q383" s="101">
        <f>(P383/D383)*100</f>
        <v>20.093960784313726</v>
      </c>
      <c r="R383" s="101">
        <f t="shared" ref="R383" si="159">(P383/E383)*100</f>
        <v>19.849385222087069</v>
      </c>
    </row>
    <row r="384" spans="1:18">
      <c r="B384" s="3" t="s">
        <v>163</v>
      </c>
      <c r="C384" s="2"/>
      <c r="D384" s="111">
        <v>30000</v>
      </c>
      <c r="E384" s="101">
        <v>30000</v>
      </c>
      <c r="F384" s="101">
        <v>5670</v>
      </c>
      <c r="G384" s="101"/>
      <c r="H384" s="101"/>
      <c r="I384" s="101"/>
      <c r="J384" s="101"/>
      <c r="K384" s="101"/>
      <c r="L384" s="101"/>
      <c r="M384" s="101"/>
      <c r="N384" s="101"/>
      <c r="O384" s="101"/>
      <c r="P384" s="101">
        <f t="shared" ref="P384:P406" si="160">SUM(F384:O384)</f>
        <v>5670</v>
      </c>
      <c r="Q384" s="101">
        <f t="shared" ref="Q384:Q404" si="161">(P384/D384)*100</f>
        <v>18.899999999999999</v>
      </c>
      <c r="R384" s="101">
        <f t="shared" ref="R384:R404" si="162">(P384/E384)*100</f>
        <v>18.899999999999999</v>
      </c>
    </row>
    <row r="385" spans="1:18">
      <c r="B385" s="3" t="s">
        <v>164</v>
      </c>
      <c r="C385" s="2"/>
      <c r="D385" s="111">
        <v>803000</v>
      </c>
      <c r="E385" s="101">
        <v>812900</v>
      </c>
      <c r="F385" s="101">
        <v>179277</v>
      </c>
      <c r="G385" s="101"/>
      <c r="H385" s="101"/>
      <c r="I385" s="101"/>
      <c r="J385" s="101"/>
      <c r="K385" s="101"/>
      <c r="L385" s="101"/>
      <c r="M385" s="101"/>
      <c r="N385" s="101"/>
      <c r="O385" s="101"/>
      <c r="P385" s="101">
        <f t="shared" si="160"/>
        <v>179277</v>
      </c>
      <c r="Q385" s="101">
        <f t="shared" si="161"/>
        <v>22.325902864259028</v>
      </c>
      <c r="R385" s="101">
        <f t="shared" si="162"/>
        <v>22.05400418255628</v>
      </c>
    </row>
    <row r="386" spans="1:18">
      <c r="B386" s="3" t="s">
        <v>165</v>
      </c>
      <c r="C386" s="2"/>
      <c r="D386" s="111">
        <v>343000</v>
      </c>
      <c r="E386" s="101">
        <v>347240</v>
      </c>
      <c r="F386" s="101">
        <v>78565</v>
      </c>
      <c r="G386" s="101"/>
      <c r="H386" s="101"/>
      <c r="I386" s="101"/>
      <c r="J386" s="101"/>
      <c r="K386" s="101"/>
      <c r="L386" s="101"/>
      <c r="M386" s="101"/>
      <c r="N386" s="101"/>
      <c r="O386" s="101"/>
      <c r="P386" s="101">
        <f t="shared" si="160"/>
        <v>78565</v>
      </c>
      <c r="Q386" s="101">
        <f t="shared" si="161"/>
        <v>22.90524781341108</v>
      </c>
      <c r="R386" s="101">
        <f t="shared" si="162"/>
        <v>22.625561571247552</v>
      </c>
    </row>
    <row r="387" spans="1:18">
      <c r="B387" s="3" t="s">
        <v>166</v>
      </c>
      <c r="C387" s="2"/>
      <c r="D387" s="111">
        <v>10000</v>
      </c>
      <c r="E387" s="101">
        <v>10000</v>
      </c>
      <c r="F387" s="101">
        <v>2740</v>
      </c>
      <c r="G387" s="101"/>
      <c r="H387" s="101"/>
      <c r="I387" s="101"/>
      <c r="J387" s="101"/>
      <c r="K387" s="101"/>
      <c r="L387" s="101"/>
      <c r="M387" s="101"/>
      <c r="N387" s="101"/>
      <c r="O387" s="101"/>
      <c r="P387" s="101">
        <f t="shared" si="160"/>
        <v>2740</v>
      </c>
      <c r="Q387" s="101">
        <f t="shared" si="161"/>
        <v>27.400000000000002</v>
      </c>
      <c r="R387" s="101">
        <f t="shared" si="162"/>
        <v>27.400000000000002</v>
      </c>
    </row>
    <row r="388" spans="1:18">
      <c r="A388" s="13"/>
      <c r="B388" s="6" t="s">
        <v>283</v>
      </c>
      <c r="C388" s="2"/>
      <c r="D388" s="111">
        <v>2000</v>
      </c>
      <c r="E388" s="101">
        <v>2000</v>
      </c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>
        <f t="shared" si="160"/>
        <v>0</v>
      </c>
      <c r="Q388" s="101">
        <f t="shared" si="161"/>
        <v>0</v>
      </c>
      <c r="R388" s="101">
        <f t="shared" si="162"/>
        <v>0</v>
      </c>
    </row>
    <row r="389" spans="1:18">
      <c r="B389" s="3" t="s">
        <v>167</v>
      </c>
      <c r="C389" s="2"/>
      <c r="D389" s="111">
        <v>10000</v>
      </c>
      <c r="E389" s="101">
        <v>30000</v>
      </c>
      <c r="F389" s="101">
        <v>20085</v>
      </c>
      <c r="G389" s="101"/>
      <c r="H389" s="101"/>
      <c r="I389" s="101"/>
      <c r="J389" s="101"/>
      <c r="K389" s="101"/>
      <c r="L389" s="101"/>
      <c r="M389" s="101"/>
      <c r="N389" s="101"/>
      <c r="O389" s="101"/>
      <c r="P389" s="101">
        <f t="shared" si="160"/>
        <v>20085</v>
      </c>
      <c r="Q389" s="101">
        <f t="shared" si="161"/>
        <v>200.85000000000002</v>
      </c>
      <c r="R389" s="101">
        <f t="shared" si="162"/>
        <v>66.95</v>
      </c>
    </row>
    <row r="390" spans="1:18">
      <c r="B390" s="3" t="s">
        <v>168</v>
      </c>
      <c r="C390" s="2"/>
      <c r="D390" s="111">
        <v>100000</v>
      </c>
      <c r="E390" s="101">
        <v>100000</v>
      </c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>
        <f t="shared" si="160"/>
        <v>0</v>
      </c>
      <c r="Q390" s="101">
        <f t="shared" si="161"/>
        <v>0</v>
      </c>
      <c r="R390" s="101">
        <f t="shared" si="162"/>
        <v>0</v>
      </c>
    </row>
    <row r="391" spans="1:18">
      <c r="B391" s="3" t="s">
        <v>169</v>
      </c>
      <c r="C391" s="2"/>
      <c r="D391" s="111">
        <v>400000</v>
      </c>
      <c r="E391" s="101">
        <v>360000</v>
      </c>
      <c r="F391" s="101">
        <v>54890.080000000002</v>
      </c>
      <c r="G391" s="101"/>
      <c r="H391" s="101"/>
      <c r="I391" s="101"/>
      <c r="J391" s="101"/>
      <c r="K391" s="101"/>
      <c r="L391" s="101"/>
      <c r="M391" s="101"/>
      <c r="N391" s="101"/>
      <c r="O391" s="101"/>
      <c r="P391" s="101">
        <f t="shared" si="160"/>
        <v>54890.080000000002</v>
      </c>
      <c r="Q391" s="101">
        <f t="shared" si="161"/>
        <v>13.722519999999999</v>
      </c>
      <c r="R391" s="101">
        <f t="shared" si="162"/>
        <v>15.247244444444444</v>
      </c>
    </row>
    <row r="392" spans="1:18">
      <c r="A392" s="70" t="s">
        <v>284</v>
      </c>
      <c r="B392" s="71" t="s">
        <v>285</v>
      </c>
      <c r="C392" s="2"/>
      <c r="D392" s="111">
        <v>100000</v>
      </c>
      <c r="E392" s="101">
        <v>100000</v>
      </c>
      <c r="F392" s="101">
        <v>0</v>
      </c>
      <c r="G392" s="101"/>
      <c r="H392" s="101"/>
      <c r="I392" s="101"/>
      <c r="J392" s="101"/>
      <c r="K392" s="101"/>
      <c r="L392" s="101"/>
      <c r="M392" s="101"/>
      <c r="N392" s="101"/>
      <c r="O392" s="101"/>
      <c r="P392" s="101">
        <f t="shared" si="160"/>
        <v>0</v>
      </c>
      <c r="Q392" s="101">
        <f t="shared" si="161"/>
        <v>0</v>
      </c>
      <c r="R392" s="101">
        <f t="shared" si="162"/>
        <v>0</v>
      </c>
    </row>
    <row r="393" spans="1:18">
      <c r="B393" s="3" t="s">
        <v>185</v>
      </c>
      <c r="C393" s="2"/>
      <c r="D393" s="111">
        <v>20000</v>
      </c>
      <c r="E393" s="101">
        <v>20000</v>
      </c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>
        <f t="shared" si="160"/>
        <v>0</v>
      </c>
      <c r="Q393" s="101">
        <f t="shared" si="161"/>
        <v>0</v>
      </c>
      <c r="R393" s="101">
        <f t="shared" si="162"/>
        <v>0</v>
      </c>
    </row>
    <row r="394" spans="1:18">
      <c r="B394" s="3" t="s">
        <v>181</v>
      </c>
      <c r="C394" s="2"/>
      <c r="D394" s="111">
        <v>90000</v>
      </c>
      <c r="E394" s="101">
        <v>90000</v>
      </c>
      <c r="F394" s="101">
        <v>10155.530000000001</v>
      </c>
      <c r="G394" s="101"/>
      <c r="H394" s="101"/>
      <c r="I394" s="101"/>
      <c r="J394" s="101"/>
      <c r="K394" s="101"/>
      <c r="L394" s="101"/>
      <c r="M394" s="101"/>
      <c r="N394" s="101"/>
      <c r="O394" s="101"/>
      <c r="P394" s="101">
        <f t="shared" si="160"/>
        <v>10155.530000000001</v>
      </c>
      <c r="Q394" s="101">
        <f t="shared" si="161"/>
        <v>11.283922222222223</v>
      </c>
      <c r="R394" s="101">
        <f t="shared" si="162"/>
        <v>11.283922222222223</v>
      </c>
    </row>
    <row r="395" spans="1:18">
      <c r="B395" s="3" t="s">
        <v>170</v>
      </c>
      <c r="C395" s="2"/>
      <c r="D395" s="111">
        <v>300000</v>
      </c>
      <c r="E395" s="101">
        <v>300000</v>
      </c>
      <c r="F395" s="101">
        <v>34746.089999999997</v>
      </c>
      <c r="G395" s="101"/>
      <c r="H395" s="101"/>
      <c r="I395" s="101"/>
      <c r="J395" s="101"/>
      <c r="K395" s="101"/>
      <c r="L395" s="101"/>
      <c r="M395" s="101"/>
      <c r="N395" s="101"/>
      <c r="O395" s="101"/>
      <c r="P395" s="101">
        <f t="shared" si="160"/>
        <v>34746.089999999997</v>
      </c>
      <c r="Q395" s="101">
        <f t="shared" si="161"/>
        <v>11.58203</v>
      </c>
      <c r="R395" s="101">
        <f t="shared" si="162"/>
        <v>11.58203</v>
      </c>
    </row>
    <row r="396" spans="1:18">
      <c r="B396" s="3" t="s">
        <v>171</v>
      </c>
      <c r="C396" s="2"/>
      <c r="D396" s="111">
        <v>30000</v>
      </c>
      <c r="E396" s="101">
        <v>30000</v>
      </c>
      <c r="F396" s="101">
        <v>6214.05</v>
      </c>
      <c r="G396" s="101"/>
      <c r="H396" s="101"/>
      <c r="I396" s="101"/>
      <c r="J396" s="101"/>
      <c r="K396" s="101"/>
      <c r="L396" s="101"/>
      <c r="M396" s="101"/>
      <c r="N396" s="101"/>
      <c r="O396" s="101"/>
      <c r="P396" s="101">
        <f t="shared" si="160"/>
        <v>6214.05</v>
      </c>
      <c r="Q396" s="101">
        <f t="shared" si="161"/>
        <v>20.7135</v>
      </c>
      <c r="R396" s="101">
        <f t="shared" si="162"/>
        <v>20.7135</v>
      </c>
    </row>
    <row r="397" spans="1:18">
      <c r="B397" s="3" t="s">
        <v>172</v>
      </c>
      <c r="C397" s="2"/>
      <c r="D397" s="111">
        <v>20000</v>
      </c>
      <c r="E397" s="101">
        <v>40000</v>
      </c>
      <c r="F397" s="101">
        <v>35170</v>
      </c>
      <c r="G397" s="101"/>
      <c r="H397" s="101"/>
      <c r="I397" s="101"/>
      <c r="J397" s="101"/>
      <c r="K397" s="101"/>
      <c r="L397" s="101"/>
      <c r="M397" s="101"/>
      <c r="N397" s="101"/>
      <c r="O397" s="101"/>
      <c r="P397" s="101">
        <f t="shared" si="160"/>
        <v>35170</v>
      </c>
      <c r="Q397" s="101">
        <f t="shared" si="161"/>
        <v>175.85</v>
      </c>
      <c r="R397" s="101">
        <f t="shared" si="162"/>
        <v>87.924999999999997</v>
      </c>
    </row>
    <row r="398" spans="1:18">
      <c r="B398" s="3" t="s">
        <v>159</v>
      </c>
      <c r="C398" s="2"/>
      <c r="D398" s="111">
        <v>10000</v>
      </c>
      <c r="E398" s="101">
        <v>20000</v>
      </c>
      <c r="F398" s="101">
        <v>10075</v>
      </c>
      <c r="G398" s="101"/>
      <c r="H398" s="101"/>
      <c r="I398" s="101"/>
      <c r="J398" s="101"/>
      <c r="K398" s="101"/>
      <c r="L398" s="101"/>
      <c r="M398" s="101"/>
      <c r="N398" s="101"/>
      <c r="O398" s="101"/>
      <c r="P398" s="101">
        <f t="shared" si="160"/>
        <v>10075</v>
      </c>
      <c r="Q398" s="101">
        <f t="shared" si="161"/>
        <v>100.75</v>
      </c>
      <c r="R398" s="101">
        <f t="shared" si="162"/>
        <v>50.375</v>
      </c>
    </row>
    <row r="399" spans="1:18">
      <c r="B399" s="74" t="s">
        <v>281</v>
      </c>
      <c r="C399" s="2"/>
      <c r="D399" s="111">
        <v>150000</v>
      </c>
      <c r="E399" s="101">
        <v>150000</v>
      </c>
      <c r="F399" s="101">
        <v>59863.53</v>
      </c>
      <c r="G399" s="101"/>
      <c r="H399" s="101"/>
      <c r="I399" s="101"/>
      <c r="J399" s="101"/>
      <c r="K399" s="101"/>
      <c r="L399" s="101"/>
      <c r="M399" s="101"/>
      <c r="N399" s="101"/>
      <c r="O399" s="101"/>
      <c r="P399" s="101">
        <f t="shared" si="160"/>
        <v>59863.53</v>
      </c>
      <c r="Q399" s="101">
        <f t="shared" si="161"/>
        <v>39.909019999999998</v>
      </c>
      <c r="R399" s="101">
        <f t="shared" si="162"/>
        <v>39.909019999999998</v>
      </c>
    </row>
    <row r="400" spans="1:18">
      <c r="A400" s="70" t="s">
        <v>284</v>
      </c>
      <c r="B400" s="72" t="s">
        <v>286</v>
      </c>
      <c r="C400" s="2"/>
      <c r="D400" s="111">
        <v>50000</v>
      </c>
      <c r="E400" s="101">
        <v>50000</v>
      </c>
      <c r="F400" s="101">
        <v>1089</v>
      </c>
      <c r="G400" s="101"/>
      <c r="H400" s="101"/>
      <c r="I400" s="101"/>
      <c r="J400" s="101"/>
      <c r="K400" s="101"/>
      <c r="L400" s="101"/>
      <c r="M400" s="101"/>
      <c r="N400" s="101"/>
      <c r="O400" s="101"/>
      <c r="P400" s="101">
        <f t="shared" si="160"/>
        <v>1089</v>
      </c>
      <c r="Q400" s="101">
        <f t="shared" si="161"/>
        <v>2.1779999999999999</v>
      </c>
      <c r="R400" s="101">
        <f t="shared" si="162"/>
        <v>2.1779999999999999</v>
      </c>
    </row>
    <row r="401" spans="1:18">
      <c r="B401" s="74" t="s">
        <v>509</v>
      </c>
      <c r="C401" s="2"/>
      <c r="D401" s="111">
        <v>300000</v>
      </c>
      <c r="E401" s="101">
        <v>290000</v>
      </c>
      <c r="F401" s="101">
        <v>31892.3</v>
      </c>
      <c r="G401" s="101"/>
      <c r="H401" s="101"/>
      <c r="I401" s="101"/>
      <c r="J401" s="101"/>
      <c r="K401" s="101"/>
      <c r="L401" s="101"/>
      <c r="M401" s="101"/>
      <c r="N401" s="101"/>
      <c r="O401" s="101"/>
      <c r="P401" s="101">
        <f t="shared" si="160"/>
        <v>31892.3</v>
      </c>
      <c r="Q401" s="101">
        <f t="shared" si="161"/>
        <v>10.630766666666666</v>
      </c>
      <c r="R401" s="101">
        <f t="shared" si="162"/>
        <v>10.997344827586208</v>
      </c>
    </row>
    <row r="402" spans="1:18">
      <c r="B402" s="3" t="s">
        <v>241</v>
      </c>
      <c r="C402" s="2"/>
      <c r="D402" s="111">
        <v>2000</v>
      </c>
      <c r="E402" s="101">
        <v>2000</v>
      </c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>
        <f t="shared" si="160"/>
        <v>0</v>
      </c>
      <c r="Q402" s="101">
        <f t="shared" si="161"/>
        <v>0</v>
      </c>
      <c r="R402" s="101">
        <f t="shared" si="162"/>
        <v>0</v>
      </c>
    </row>
    <row r="403" spans="1:18">
      <c r="B403" s="3" t="s">
        <v>243</v>
      </c>
      <c r="C403" s="2"/>
      <c r="D403" s="111">
        <v>10000</v>
      </c>
      <c r="E403" s="101">
        <v>10000</v>
      </c>
      <c r="F403" s="101">
        <v>2170</v>
      </c>
      <c r="G403" s="101"/>
      <c r="H403" s="101"/>
      <c r="I403" s="101"/>
      <c r="J403" s="101"/>
      <c r="K403" s="101"/>
      <c r="L403" s="101"/>
      <c r="M403" s="101"/>
      <c r="N403" s="101"/>
      <c r="O403" s="101"/>
      <c r="P403" s="101">
        <f t="shared" si="160"/>
        <v>2170</v>
      </c>
      <c r="Q403" s="101">
        <f t="shared" si="161"/>
        <v>21.7</v>
      </c>
      <c r="R403" s="101">
        <f t="shared" si="162"/>
        <v>21.7</v>
      </c>
    </row>
    <row r="404" spans="1:18">
      <c r="B404" s="3" t="s">
        <v>176</v>
      </c>
      <c r="C404" s="2"/>
      <c r="D404" s="111">
        <v>70000</v>
      </c>
      <c r="E404" s="101">
        <v>70000</v>
      </c>
      <c r="F404" s="101">
        <v>14975</v>
      </c>
      <c r="G404" s="101"/>
      <c r="H404" s="101"/>
      <c r="I404" s="101"/>
      <c r="J404" s="101"/>
      <c r="K404" s="101"/>
      <c r="L404" s="101"/>
      <c r="M404" s="101"/>
      <c r="N404" s="101"/>
      <c r="O404" s="101"/>
      <c r="P404" s="101">
        <f t="shared" si="160"/>
        <v>14975</v>
      </c>
      <c r="Q404" s="101">
        <f t="shared" si="161"/>
        <v>21.392857142857142</v>
      </c>
      <c r="R404" s="101">
        <f t="shared" si="162"/>
        <v>21.392857142857142</v>
      </c>
    </row>
    <row r="405" spans="1:18">
      <c r="B405" s="4" t="s">
        <v>507</v>
      </c>
      <c r="C405" s="2"/>
      <c r="D405" s="111">
        <v>200000</v>
      </c>
      <c r="E405" s="101">
        <v>200000</v>
      </c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>
        <f t="shared" si="160"/>
        <v>0</v>
      </c>
      <c r="Q405" s="101">
        <f t="shared" ref="Q405" si="163">(P405/D405)*100</f>
        <v>0</v>
      </c>
      <c r="R405" s="101">
        <f t="shared" ref="R405:R406" si="164">(P405/E405)*100</f>
        <v>0</v>
      </c>
    </row>
    <row r="406" spans="1:18">
      <c r="B406" s="4" t="s">
        <v>518</v>
      </c>
      <c r="C406" s="2"/>
      <c r="D406" s="111">
        <v>0</v>
      </c>
      <c r="E406" s="101">
        <v>900000</v>
      </c>
      <c r="F406" s="101">
        <v>6000</v>
      </c>
      <c r="G406" s="101"/>
      <c r="H406" s="101"/>
      <c r="I406" s="101"/>
      <c r="J406" s="101"/>
      <c r="K406" s="101"/>
      <c r="L406" s="101"/>
      <c r="M406" s="101"/>
      <c r="N406" s="101"/>
      <c r="O406" s="101"/>
      <c r="P406" s="101">
        <f t="shared" si="160"/>
        <v>6000</v>
      </c>
      <c r="Q406" s="101">
        <v>0</v>
      </c>
      <c r="R406" s="101">
        <f t="shared" si="164"/>
        <v>0.66666666666666674</v>
      </c>
    </row>
    <row r="407" spans="1:18">
      <c r="B407" s="5" t="s">
        <v>3</v>
      </c>
      <c r="C407" s="2"/>
      <c r="D407" s="213">
        <f>SUM(D383:D406)</f>
        <v>5600000</v>
      </c>
      <c r="E407" s="213">
        <f t="shared" ref="E407:P407" si="165">SUM(E383:E406)</f>
        <v>6545560</v>
      </c>
      <c r="F407" s="213">
        <f t="shared" si="165"/>
        <v>1065973.58</v>
      </c>
      <c r="G407" s="213">
        <f t="shared" si="165"/>
        <v>0</v>
      </c>
      <c r="H407" s="213">
        <f t="shared" si="165"/>
        <v>0</v>
      </c>
      <c r="I407" s="213">
        <f t="shared" si="165"/>
        <v>0</v>
      </c>
      <c r="J407" s="213">
        <f t="shared" si="165"/>
        <v>0</v>
      </c>
      <c r="K407" s="213">
        <f t="shared" si="165"/>
        <v>0</v>
      </c>
      <c r="L407" s="213">
        <f t="shared" si="165"/>
        <v>0</v>
      </c>
      <c r="M407" s="213">
        <f t="shared" si="165"/>
        <v>0</v>
      </c>
      <c r="N407" s="213">
        <f t="shared" si="165"/>
        <v>0</v>
      </c>
      <c r="O407" s="213">
        <f t="shared" si="165"/>
        <v>0</v>
      </c>
      <c r="P407" s="213">
        <f t="shared" si="165"/>
        <v>1065973.58</v>
      </c>
      <c r="Q407" s="213">
        <f>(P407/D407)*100</f>
        <v>19.035242500000003</v>
      </c>
      <c r="R407" s="213">
        <f>(P407/E407)*100</f>
        <v>16.285445095606793</v>
      </c>
    </row>
    <row r="410" spans="1:18" ht="38.25">
      <c r="A410" s="12" t="s">
        <v>156</v>
      </c>
      <c r="B410" s="77" t="s">
        <v>329</v>
      </c>
      <c r="C410" s="2"/>
      <c r="D410" s="85" t="s">
        <v>490</v>
      </c>
      <c r="E410" s="203" t="s">
        <v>493</v>
      </c>
      <c r="F410" s="204" t="s">
        <v>492</v>
      </c>
      <c r="G410" s="204" t="s">
        <v>497</v>
      </c>
      <c r="H410" s="204" t="s">
        <v>505</v>
      </c>
      <c r="I410" s="204" t="s">
        <v>498</v>
      </c>
      <c r="J410" s="204" t="s">
        <v>499</v>
      </c>
      <c r="K410" s="204" t="s">
        <v>500</v>
      </c>
      <c r="L410" s="204" t="s">
        <v>501</v>
      </c>
      <c r="M410" s="204" t="s">
        <v>502</v>
      </c>
      <c r="N410" s="204" t="s">
        <v>503</v>
      </c>
      <c r="O410" s="204" t="s">
        <v>504</v>
      </c>
      <c r="P410" s="204" t="s">
        <v>496</v>
      </c>
      <c r="Q410" s="204" t="s">
        <v>543</v>
      </c>
      <c r="R410" s="205" t="s">
        <v>495</v>
      </c>
    </row>
    <row r="411" spans="1:18">
      <c r="A411" s="2" t="s">
        <v>330</v>
      </c>
      <c r="B411" s="3" t="s">
        <v>235</v>
      </c>
      <c r="C411" s="2"/>
      <c r="D411" s="111">
        <v>345000</v>
      </c>
      <c r="E411" s="230">
        <v>345000</v>
      </c>
      <c r="F411" s="101">
        <v>241412</v>
      </c>
      <c r="G411" s="101"/>
      <c r="H411" s="101"/>
      <c r="I411" s="101"/>
      <c r="J411" s="101"/>
      <c r="K411" s="101"/>
      <c r="L411" s="101"/>
      <c r="M411" s="101"/>
      <c r="N411" s="101"/>
      <c r="O411" s="101"/>
      <c r="P411" s="101">
        <f>SUM(F411:O411)</f>
        <v>241412</v>
      </c>
      <c r="Q411" s="101">
        <f>(P411/D411)*100</f>
        <v>69.974492753623181</v>
      </c>
      <c r="R411" s="101">
        <f>(P411/E411)*100</f>
        <v>69.974492753623181</v>
      </c>
    </row>
    <row r="412" spans="1:18">
      <c r="B412" s="4" t="s">
        <v>341</v>
      </c>
      <c r="C412" s="2"/>
      <c r="D412" s="111">
        <v>109000</v>
      </c>
      <c r="E412" s="230">
        <v>109000</v>
      </c>
      <c r="F412" s="101">
        <v>85452</v>
      </c>
      <c r="G412" s="101"/>
      <c r="H412" s="101"/>
      <c r="I412" s="101"/>
      <c r="J412" s="101"/>
      <c r="K412" s="101"/>
      <c r="L412" s="101"/>
      <c r="M412" s="101"/>
      <c r="N412" s="101"/>
      <c r="O412" s="101"/>
      <c r="P412" s="101">
        <f t="shared" ref="P412:P413" si="166">SUM(F412:O412)</f>
        <v>85452</v>
      </c>
      <c r="Q412" s="101">
        <f t="shared" ref="Q412:Q413" si="167">(P412/D412)*100</f>
        <v>78.39633027522936</v>
      </c>
      <c r="R412" s="101">
        <f t="shared" ref="R412:R413" si="168">(P412/E412)*100</f>
        <v>78.39633027522936</v>
      </c>
    </row>
    <row r="413" spans="1:18">
      <c r="B413" s="3" t="s">
        <v>165</v>
      </c>
      <c r="C413" s="2"/>
      <c r="D413" s="111">
        <v>46000</v>
      </c>
      <c r="E413" s="230">
        <v>46000</v>
      </c>
      <c r="F413" s="101">
        <v>36626</v>
      </c>
      <c r="G413" s="101"/>
      <c r="H413" s="101"/>
      <c r="I413" s="101"/>
      <c r="J413" s="101"/>
      <c r="K413" s="101"/>
      <c r="L413" s="101"/>
      <c r="M413" s="101"/>
      <c r="N413" s="101"/>
      <c r="O413" s="101"/>
      <c r="P413" s="101">
        <f t="shared" si="166"/>
        <v>36626</v>
      </c>
      <c r="Q413" s="101">
        <f t="shared" si="167"/>
        <v>79.62173913043479</v>
      </c>
      <c r="R413" s="101">
        <f t="shared" si="168"/>
        <v>79.62173913043479</v>
      </c>
    </row>
    <row r="414" spans="1:18">
      <c r="B414" s="5" t="s">
        <v>3</v>
      </c>
      <c r="C414" s="2"/>
      <c r="D414" s="213">
        <f t="shared" ref="D414:P414" si="169">SUM(D411:D413)</f>
        <v>500000</v>
      </c>
      <c r="E414" s="213">
        <f t="shared" si="169"/>
        <v>500000</v>
      </c>
      <c r="F414" s="213">
        <f t="shared" si="169"/>
        <v>363490</v>
      </c>
      <c r="G414" s="213">
        <f t="shared" si="169"/>
        <v>0</v>
      </c>
      <c r="H414" s="213">
        <f t="shared" si="169"/>
        <v>0</v>
      </c>
      <c r="I414" s="213">
        <f t="shared" si="169"/>
        <v>0</v>
      </c>
      <c r="J414" s="213">
        <f t="shared" si="169"/>
        <v>0</v>
      </c>
      <c r="K414" s="213">
        <f t="shared" si="169"/>
        <v>0</v>
      </c>
      <c r="L414" s="213">
        <f t="shared" si="169"/>
        <v>0</v>
      </c>
      <c r="M414" s="213">
        <f t="shared" si="169"/>
        <v>0</v>
      </c>
      <c r="N414" s="213">
        <f t="shared" si="169"/>
        <v>0</v>
      </c>
      <c r="O414" s="213">
        <f t="shared" si="169"/>
        <v>0</v>
      </c>
      <c r="P414" s="213">
        <f t="shared" si="169"/>
        <v>363490</v>
      </c>
      <c r="Q414" s="213">
        <f>(P414/D414)*100</f>
        <v>72.697999999999993</v>
      </c>
      <c r="R414" s="213">
        <f>(P414/E414)*100</f>
        <v>72.697999999999993</v>
      </c>
    </row>
    <row r="417" spans="1:18" ht="38.25">
      <c r="A417" s="12" t="s">
        <v>156</v>
      </c>
      <c r="B417" s="77" t="s">
        <v>382</v>
      </c>
      <c r="C417" s="2"/>
      <c r="D417" s="85" t="s">
        <v>490</v>
      </c>
      <c r="E417" s="203" t="s">
        <v>493</v>
      </c>
      <c r="F417" s="204" t="s">
        <v>492</v>
      </c>
      <c r="G417" s="204" t="s">
        <v>497</v>
      </c>
      <c r="H417" s="204" t="s">
        <v>505</v>
      </c>
      <c r="I417" s="204" t="s">
        <v>498</v>
      </c>
      <c r="J417" s="204" t="s">
        <v>499</v>
      </c>
      <c r="K417" s="204" t="s">
        <v>500</v>
      </c>
      <c r="L417" s="204" t="s">
        <v>501</v>
      </c>
      <c r="M417" s="204" t="s">
        <v>502</v>
      </c>
      <c r="N417" s="204" t="s">
        <v>503</v>
      </c>
      <c r="O417" s="204" t="s">
        <v>504</v>
      </c>
      <c r="P417" s="204" t="s">
        <v>496</v>
      </c>
      <c r="Q417" s="204" t="s">
        <v>543</v>
      </c>
      <c r="R417" s="205" t="s">
        <v>495</v>
      </c>
    </row>
    <row r="418" spans="1:18">
      <c r="A418" s="12" t="s">
        <v>289</v>
      </c>
      <c r="B418" s="3" t="s">
        <v>235</v>
      </c>
      <c r="C418" s="2"/>
      <c r="D418" s="111">
        <v>90000</v>
      </c>
      <c r="E418" s="230">
        <v>90000</v>
      </c>
      <c r="F418" s="101">
        <v>13271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1">
        <f>SUM(F418:O418)</f>
        <v>13271</v>
      </c>
      <c r="Q418" s="101">
        <f>(P418/D418)*100</f>
        <v>14.745555555555557</v>
      </c>
      <c r="R418" s="101">
        <f>(P418/E418)*100</f>
        <v>14.745555555555557</v>
      </c>
    </row>
    <row r="419" spans="1:18">
      <c r="B419" s="3" t="s">
        <v>290</v>
      </c>
      <c r="C419" s="2"/>
      <c r="D419" s="111">
        <v>30000</v>
      </c>
      <c r="E419" s="230">
        <v>30000</v>
      </c>
      <c r="F419" s="101">
        <v>2143</v>
      </c>
      <c r="G419" s="101"/>
      <c r="H419" s="101"/>
      <c r="I419" s="101"/>
      <c r="J419" s="101"/>
      <c r="K419" s="101"/>
      <c r="L419" s="101"/>
      <c r="M419" s="101"/>
      <c r="N419" s="101"/>
      <c r="O419" s="101"/>
      <c r="P419" s="101">
        <f t="shared" ref="P419:P427" si="170">SUM(F419:O419)</f>
        <v>2143</v>
      </c>
      <c r="Q419" s="101">
        <f t="shared" ref="Q419:Q427" si="171">(P419/D419)*100</f>
        <v>7.1433333333333335</v>
      </c>
      <c r="R419" s="101">
        <f t="shared" ref="R419:R427" si="172">(P419/E419)*100</f>
        <v>7.1433333333333335</v>
      </c>
    </row>
    <row r="420" spans="1:18">
      <c r="B420" s="3" t="s">
        <v>165</v>
      </c>
      <c r="C420" s="2"/>
      <c r="D420" s="111">
        <v>12000</v>
      </c>
      <c r="E420" s="230">
        <v>12000</v>
      </c>
      <c r="F420" s="101">
        <v>2058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1">
        <f t="shared" si="170"/>
        <v>2058</v>
      </c>
      <c r="Q420" s="101">
        <f t="shared" si="171"/>
        <v>17.150000000000002</v>
      </c>
      <c r="R420" s="101">
        <f t="shared" si="172"/>
        <v>17.150000000000002</v>
      </c>
    </row>
    <row r="421" spans="1:18">
      <c r="B421" s="3" t="s">
        <v>170</v>
      </c>
      <c r="C421" s="2"/>
      <c r="D421" s="111">
        <v>10000</v>
      </c>
      <c r="E421" s="230">
        <v>10000</v>
      </c>
      <c r="F421" s="101">
        <v>0</v>
      </c>
      <c r="G421" s="101"/>
      <c r="H421" s="101"/>
      <c r="I421" s="101"/>
      <c r="J421" s="101"/>
      <c r="K421" s="101"/>
      <c r="L421" s="101"/>
      <c r="M421" s="101"/>
      <c r="N421" s="101"/>
      <c r="O421" s="101"/>
      <c r="P421" s="101">
        <f t="shared" si="170"/>
        <v>0</v>
      </c>
      <c r="Q421" s="101">
        <f t="shared" si="171"/>
        <v>0</v>
      </c>
      <c r="R421" s="101">
        <f t="shared" si="172"/>
        <v>0</v>
      </c>
    </row>
    <row r="422" spans="1:18">
      <c r="B422" s="3" t="s">
        <v>237</v>
      </c>
      <c r="C422" s="2"/>
      <c r="D422" s="111">
        <v>2000</v>
      </c>
      <c r="E422" s="230">
        <v>2000</v>
      </c>
      <c r="F422" s="101">
        <v>0</v>
      </c>
      <c r="G422" s="101"/>
      <c r="H422" s="101"/>
      <c r="I422" s="101"/>
      <c r="J422" s="101"/>
      <c r="K422" s="101"/>
      <c r="L422" s="101"/>
      <c r="M422" s="101"/>
      <c r="N422" s="101"/>
      <c r="O422" s="101"/>
      <c r="P422" s="101">
        <f t="shared" si="170"/>
        <v>0</v>
      </c>
      <c r="Q422" s="101">
        <f t="shared" si="171"/>
        <v>0</v>
      </c>
      <c r="R422" s="101">
        <f t="shared" si="172"/>
        <v>0</v>
      </c>
    </row>
    <row r="423" spans="1:18">
      <c r="B423" s="3" t="s">
        <v>171</v>
      </c>
      <c r="C423" s="2"/>
      <c r="D423" s="111">
        <v>2000</v>
      </c>
      <c r="E423" s="230">
        <v>2000</v>
      </c>
      <c r="F423" s="101">
        <v>0</v>
      </c>
      <c r="G423" s="101"/>
      <c r="H423" s="101"/>
      <c r="I423" s="101"/>
      <c r="J423" s="101"/>
      <c r="K423" s="101"/>
      <c r="L423" s="101"/>
      <c r="M423" s="101"/>
      <c r="N423" s="101"/>
      <c r="O423" s="101"/>
      <c r="P423" s="101">
        <f t="shared" si="170"/>
        <v>0</v>
      </c>
      <c r="Q423" s="101">
        <f t="shared" si="171"/>
        <v>0</v>
      </c>
      <c r="R423" s="101">
        <f t="shared" si="172"/>
        <v>0</v>
      </c>
    </row>
    <row r="424" spans="1:18">
      <c r="B424" s="4" t="s">
        <v>159</v>
      </c>
      <c r="C424" s="2"/>
      <c r="D424" s="111">
        <v>198000</v>
      </c>
      <c r="E424" s="230">
        <v>198000</v>
      </c>
      <c r="F424" s="101">
        <v>0</v>
      </c>
      <c r="G424" s="101"/>
      <c r="H424" s="101"/>
      <c r="I424" s="101"/>
      <c r="J424" s="101"/>
      <c r="K424" s="101"/>
      <c r="L424" s="101"/>
      <c r="M424" s="101"/>
      <c r="N424" s="101"/>
      <c r="O424" s="101"/>
      <c r="P424" s="101">
        <f t="shared" si="170"/>
        <v>0</v>
      </c>
      <c r="Q424" s="101">
        <f t="shared" si="171"/>
        <v>0</v>
      </c>
      <c r="R424" s="101">
        <f t="shared" si="172"/>
        <v>0</v>
      </c>
    </row>
    <row r="425" spans="1:18">
      <c r="B425" s="3" t="s">
        <v>160</v>
      </c>
      <c r="C425" s="2"/>
      <c r="D425" s="111">
        <v>20000</v>
      </c>
      <c r="E425" s="230">
        <v>20000</v>
      </c>
      <c r="F425" s="101">
        <v>0</v>
      </c>
      <c r="G425" s="101"/>
      <c r="H425" s="101"/>
      <c r="I425" s="101"/>
      <c r="J425" s="101"/>
      <c r="K425" s="101"/>
      <c r="L425" s="101"/>
      <c r="M425" s="101"/>
      <c r="N425" s="101"/>
      <c r="O425" s="101"/>
      <c r="P425" s="101">
        <f t="shared" si="170"/>
        <v>0</v>
      </c>
      <c r="Q425" s="101">
        <f t="shared" si="171"/>
        <v>0</v>
      </c>
      <c r="R425" s="101">
        <f t="shared" si="172"/>
        <v>0</v>
      </c>
    </row>
    <row r="426" spans="1:18">
      <c r="B426" s="4" t="s">
        <v>241</v>
      </c>
      <c r="C426" s="2"/>
      <c r="D426" s="111">
        <v>4000</v>
      </c>
      <c r="E426" s="230">
        <v>4000</v>
      </c>
      <c r="F426" s="101">
        <v>0</v>
      </c>
      <c r="G426" s="101"/>
      <c r="H426" s="101"/>
      <c r="I426" s="101"/>
      <c r="J426" s="101"/>
      <c r="K426" s="101"/>
      <c r="L426" s="101"/>
      <c r="M426" s="101"/>
      <c r="N426" s="101"/>
      <c r="O426" s="101"/>
      <c r="P426" s="101">
        <f t="shared" si="170"/>
        <v>0</v>
      </c>
      <c r="Q426" s="101">
        <f t="shared" si="171"/>
        <v>0</v>
      </c>
      <c r="R426" s="101">
        <f t="shared" si="172"/>
        <v>0</v>
      </c>
    </row>
    <row r="427" spans="1:18" hidden="1">
      <c r="B427" s="4" t="s">
        <v>250</v>
      </c>
      <c r="C427" s="2"/>
      <c r="D427" s="11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>
        <f t="shared" si="170"/>
        <v>0</v>
      </c>
      <c r="Q427" s="101" t="e">
        <f t="shared" si="171"/>
        <v>#DIV/0!</v>
      </c>
      <c r="R427" s="101" t="e">
        <f t="shared" si="172"/>
        <v>#DIV/0!</v>
      </c>
    </row>
    <row r="428" spans="1:18">
      <c r="B428" s="5" t="s">
        <v>3</v>
      </c>
      <c r="C428" s="2"/>
      <c r="D428" s="213">
        <f>SUM(D418:D427)</f>
        <v>368000</v>
      </c>
      <c r="E428" s="213">
        <f t="shared" ref="E428:P428" si="173">SUM(E418:E427)</f>
        <v>368000</v>
      </c>
      <c r="F428" s="213">
        <f t="shared" si="173"/>
        <v>17472</v>
      </c>
      <c r="G428" s="213">
        <f t="shared" si="173"/>
        <v>0</v>
      </c>
      <c r="H428" s="213">
        <f t="shared" si="173"/>
        <v>0</v>
      </c>
      <c r="I428" s="213">
        <f t="shared" si="173"/>
        <v>0</v>
      </c>
      <c r="J428" s="213">
        <f t="shared" si="173"/>
        <v>0</v>
      </c>
      <c r="K428" s="213">
        <f t="shared" si="173"/>
        <v>0</v>
      </c>
      <c r="L428" s="213">
        <f t="shared" si="173"/>
        <v>0</v>
      </c>
      <c r="M428" s="213">
        <f t="shared" si="173"/>
        <v>0</v>
      </c>
      <c r="N428" s="213">
        <f t="shared" si="173"/>
        <v>0</v>
      </c>
      <c r="O428" s="213">
        <f t="shared" si="173"/>
        <v>0</v>
      </c>
      <c r="P428" s="213">
        <f t="shared" si="173"/>
        <v>17472</v>
      </c>
      <c r="Q428" s="213">
        <f>(P428/D428)*100</f>
        <v>4.7478260869565219</v>
      </c>
      <c r="R428" s="213">
        <f>(P428/E428)*100</f>
        <v>4.7478260869565219</v>
      </c>
    </row>
    <row r="431" spans="1:18" ht="38.25">
      <c r="A431" s="12" t="s">
        <v>156</v>
      </c>
      <c r="B431" s="77" t="s">
        <v>383</v>
      </c>
      <c r="C431" s="2"/>
      <c r="D431" s="85" t="s">
        <v>490</v>
      </c>
      <c r="E431" s="203" t="s">
        <v>493</v>
      </c>
      <c r="F431" s="204" t="s">
        <v>492</v>
      </c>
      <c r="G431" s="204" t="s">
        <v>497</v>
      </c>
      <c r="H431" s="204" t="s">
        <v>505</v>
      </c>
      <c r="I431" s="204" t="s">
        <v>498</v>
      </c>
      <c r="J431" s="204" t="s">
        <v>499</v>
      </c>
      <c r="K431" s="204" t="s">
        <v>500</v>
      </c>
      <c r="L431" s="204" t="s">
        <v>501</v>
      </c>
      <c r="M431" s="204" t="s">
        <v>502</v>
      </c>
      <c r="N431" s="204" t="s">
        <v>503</v>
      </c>
      <c r="O431" s="204" t="s">
        <v>504</v>
      </c>
      <c r="P431" s="204" t="s">
        <v>496</v>
      </c>
      <c r="Q431" s="204" t="s">
        <v>543</v>
      </c>
      <c r="R431" s="205" t="s">
        <v>495</v>
      </c>
    </row>
    <row r="432" spans="1:18">
      <c r="A432" s="12" t="s">
        <v>287</v>
      </c>
      <c r="B432" s="3" t="s">
        <v>235</v>
      </c>
      <c r="C432" s="2"/>
      <c r="D432" s="111">
        <v>414000</v>
      </c>
      <c r="E432" s="230">
        <v>401000</v>
      </c>
      <c r="F432" s="101">
        <v>86071</v>
      </c>
      <c r="G432" s="101"/>
      <c r="H432" s="101"/>
      <c r="I432" s="101"/>
      <c r="J432" s="101"/>
      <c r="K432" s="101"/>
      <c r="L432" s="101"/>
      <c r="M432" s="101"/>
      <c r="N432" s="101"/>
      <c r="O432" s="101"/>
      <c r="P432" s="101">
        <f>SUM(F432:O432)</f>
        <v>86071</v>
      </c>
      <c r="Q432" s="101">
        <f>(P432/D432)*100</f>
        <v>20.790096618357488</v>
      </c>
      <c r="R432" s="101">
        <f>(P432/E432)*100</f>
        <v>21.464089775561096</v>
      </c>
    </row>
    <row r="433" spans="2:18">
      <c r="B433" s="3" t="s">
        <v>164</v>
      </c>
      <c r="C433" s="2"/>
      <c r="D433" s="111">
        <v>130000</v>
      </c>
      <c r="E433" s="101">
        <v>130000</v>
      </c>
      <c r="F433" s="101">
        <v>31287</v>
      </c>
      <c r="G433" s="101"/>
      <c r="H433" s="101"/>
      <c r="I433" s="101"/>
      <c r="J433" s="101"/>
      <c r="K433" s="101"/>
      <c r="L433" s="101"/>
      <c r="M433" s="101"/>
      <c r="N433" s="101"/>
      <c r="O433" s="101"/>
      <c r="P433" s="101">
        <f t="shared" ref="P433:P447" si="174">SUM(F433:O433)</f>
        <v>31287</v>
      </c>
      <c r="Q433" s="101">
        <f t="shared" ref="Q433:Q445" si="175">(P433/D433)*100</f>
        <v>24.066923076923079</v>
      </c>
      <c r="R433" s="101">
        <f t="shared" ref="R433:R447" si="176">(P433/E433)*100</f>
        <v>24.066923076923079</v>
      </c>
    </row>
    <row r="434" spans="2:18">
      <c r="B434" s="3" t="s">
        <v>165</v>
      </c>
      <c r="C434" s="2"/>
      <c r="D434" s="111">
        <v>65000</v>
      </c>
      <c r="E434" s="101">
        <v>65000</v>
      </c>
      <c r="F434" s="101">
        <v>13411</v>
      </c>
      <c r="G434" s="101"/>
      <c r="H434" s="101"/>
      <c r="I434" s="101"/>
      <c r="J434" s="101"/>
      <c r="K434" s="101"/>
      <c r="L434" s="101"/>
      <c r="M434" s="101"/>
      <c r="N434" s="101"/>
      <c r="O434" s="101"/>
      <c r="P434" s="101">
        <f t="shared" si="174"/>
        <v>13411</v>
      </c>
      <c r="Q434" s="101">
        <f t="shared" si="175"/>
        <v>20.632307692307691</v>
      </c>
      <c r="R434" s="101">
        <f t="shared" si="176"/>
        <v>20.632307692307691</v>
      </c>
    </row>
    <row r="435" spans="2:18">
      <c r="B435" s="3" t="s">
        <v>166</v>
      </c>
      <c r="C435" s="2"/>
      <c r="D435" s="111"/>
      <c r="E435" s="101">
        <v>1000</v>
      </c>
      <c r="F435" s="101">
        <v>455</v>
      </c>
      <c r="G435" s="101"/>
      <c r="H435" s="101"/>
      <c r="I435" s="101"/>
      <c r="J435" s="101"/>
      <c r="K435" s="101"/>
      <c r="L435" s="101"/>
      <c r="M435" s="101"/>
      <c r="N435" s="101"/>
      <c r="O435" s="101"/>
      <c r="P435" s="101">
        <f t="shared" si="174"/>
        <v>455</v>
      </c>
      <c r="Q435" s="101">
        <v>0</v>
      </c>
      <c r="R435" s="101">
        <f t="shared" si="176"/>
        <v>45.5</v>
      </c>
    </row>
    <row r="436" spans="2:18">
      <c r="B436" s="3" t="s">
        <v>236</v>
      </c>
      <c r="C436" s="2"/>
      <c r="D436" s="111">
        <v>5000</v>
      </c>
      <c r="E436" s="101">
        <v>5000</v>
      </c>
      <c r="F436" s="101">
        <v>489</v>
      </c>
      <c r="G436" s="101"/>
      <c r="H436" s="101"/>
      <c r="I436" s="101"/>
      <c r="J436" s="101"/>
      <c r="K436" s="101"/>
      <c r="L436" s="101"/>
      <c r="M436" s="101"/>
      <c r="N436" s="101"/>
      <c r="O436" s="101"/>
      <c r="P436" s="101">
        <f t="shared" si="174"/>
        <v>489</v>
      </c>
      <c r="Q436" s="101">
        <f t="shared" si="175"/>
        <v>9.7799999999999994</v>
      </c>
      <c r="R436" s="101">
        <f t="shared" si="176"/>
        <v>9.7799999999999994</v>
      </c>
    </row>
    <row r="437" spans="2:18">
      <c r="B437" s="3" t="s">
        <v>168</v>
      </c>
      <c r="C437" s="2"/>
      <c r="D437" s="111">
        <v>10000</v>
      </c>
      <c r="E437" s="101">
        <v>10000</v>
      </c>
      <c r="F437" s="101">
        <v>0</v>
      </c>
      <c r="G437" s="101"/>
      <c r="H437" s="101"/>
      <c r="I437" s="101"/>
      <c r="J437" s="101"/>
      <c r="K437" s="101"/>
      <c r="L437" s="101"/>
      <c r="M437" s="101"/>
      <c r="N437" s="101"/>
      <c r="O437" s="101"/>
      <c r="P437" s="101">
        <f t="shared" si="174"/>
        <v>0</v>
      </c>
      <c r="Q437" s="101">
        <f t="shared" si="175"/>
        <v>0</v>
      </c>
      <c r="R437" s="101">
        <f t="shared" si="176"/>
        <v>0</v>
      </c>
    </row>
    <row r="438" spans="2:18">
      <c r="B438" s="3" t="s">
        <v>169</v>
      </c>
      <c r="C438" s="2"/>
      <c r="D438" s="111">
        <v>5000</v>
      </c>
      <c r="E438" s="101">
        <v>5000</v>
      </c>
      <c r="F438" s="101">
        <v>0</v>
      </c>
      <c r="G438" s="101"/>
      <c r="H438" s="101"/>
      <c r="I438" s="101"/>
      <c r="J438" s="101"/>
      <c r="K438" s="101"/>
      <c r="L438" s="101"/>
      <c r="M438" s="101"/>
      <c r="N438" s="101"/>
      <c r="O438" s="101"/>
      <c r="P438" s="101">
        <f t="shared" si="174"/>
        <v>0</v>
      </c>
      <c r="Q438" s="101">
        <f t="shared" si="175"/>
        <v>0</v>
      </c>
      <c r="R438" s="101">
        <f t="shared" si="176"/>
        <v>0</v>
      </c>
    </row>
    <row r="439" spans="2:18">
      <c r="B439" s="3" t="s">
        <v>181</v>
      </c>
      <c r="C439" s="2"/>
      <c r="D439" s="111">
        <v>10000</v>
      </c>
      <c r="E439" s="101">
        <v>10000</v>
      </c>
      <c r="F439" s="101">
        <v>1860</v>
      </c>
      <c r="G439" s="101"/>
      <c r="H439" s="101"/>
      <c r="I439" s="101"/>
      <c r="J439" s="101"/>
      <c r="K439" s="101"/>
      <c r="L439" s="101"/>
      <c r="M439" s="101"/>
      <c r="N439" s="101"/>
      <c r="O439" s="101"/>
      <c r="P439" s="101">
        <f t="shared" si="174"/>
        <v>1860</v>
      </c>
      <c r="Q439" s="101">
        <f t="shared" si="175"/>
        <v>18.600000000000001</v>
      </c>
      <c r="R439" s="101">
        <f t="shared" si="176"/>
        <v>18.600000000000001</v>
      </c>
    </row>
    <row r="440" spans="2:18">
      <c r="B440" s="3" t="s">
        <v>170</v>
      </c>
      <c r="C440" s="2"/>
      <c r="D440" s="111">
        <v>10000</v>
      </c>
      <c r="E440" s="101">
        <v>10000</v>
      </c>
      <c r="F440" s="101">
        <v>0</v>
      </c>
      <c r="G440" s="101"/>
      <c r="H440" s="101"/>
      <c r="I440" s="101"/>
      <c r="J440" s="101"/>
      <c r="K440" s="101"/>
      <c r="L440" s="101"/>
      <c r="M440" s="101"/>
      <c r="N440" s="101"/>
      <c r="O440" s="101"/>
      <c r="P440" s="101">
        <f t="shared" si="174"/>
        <v>0</v>
      </c>
      <c r="Q440" s="101">
        <f t="shared" si="175"/>
        <v>0</v>
      </c>
      <c r="R440" s="101">
        <f t="shared" si="176"/>
        <v>0</v>
      </c>
    </row>
    <row r="441" spans="2:18">
      <c r="B441" s="3" t="s">
        <v>171</v>
      </c>
      <c r="C441" s="2"/>
      <c r="D441" s="111">
        <v>20000</v>
      </c>
      <c r="E441" s="101">
        <v>20000</v>
      </c>
      <c r="F441" s="101">
        <v>3485.21</v>
      </c>
      <c r="G441" s="101"/>
      <c r="H441" s="101"/>
      <c r="I441" s="101"/>
      <c r="J441" s="101"/>
      <c r="K441" s="101"/>
      <c r="L441" s="101"/>
      <c r="M441" s="101"/>
      <c r="N441" s="101"/>
      <c r="O441" s="101"/>
      <c r="P441" s="101">
        <f t="shared" si="174"/>
        <v>3485.21</v>
      </c>
      <c r="Q441" s="101">
        <f t="shared" si="175"/>
        <v>17.42605</v>
      </c>
      <c r="R441" s="101">
        <f t="shared" si="176"/>
        <v>17.42605</v>
      </c>
    </row>
    <row r="442" spans="2:18">
      <c r="B442" s="3" t="s">
        <v>159</v>
      </c>
      <c r="C442" s="2"/>
      <c r="D442" s="111">
        <v>10000</v>
      </c>
      <c r="E442" s="101">
        <v>10000</v>
      </c>
      <c r="F442" s="101">
        <v>1100</v>
      </c>
      <c r="G442" s="101"/>
      <c r="H442" s="101"/>
      <c r="I442" s="101"/>
      <c r="J442" s="101"/>
      <c r="K442" s="101"/>
      <c r="L442" s="101"/>
      <c r="M442" s="101"/>
      <c r="N442" s="101"/>
      <c r="O442" s="101"/>
      <c r="P442" s="101">
        <f t="shared" si="174"/>
        <v>1100</v>
      </c>
      <c r="Q442" s="101">
        <f t="shared" si="175"/>
        <v>11</v>
      </c>
      <c r="R442" s="101">
        <f t="shared" si="176"/>
        <v>11</v>
      </c>
    </row>
    <row r="443" spans="2:18">
      <c r="B443" s="74" t="s">
        <v>281</v>
      </c>
      <c r="C443" s="2"/>
      <c r="D443" s="111">
        <v>14000</v>
      </c>
      <c r="E443" s="101">
        <v>14000</v>
      </c>
      <c r="F443" s="101">
        <v>6900</v>
      </c>
      <c r="G443" s="101"/>
      <c r="H443" s="101"/>
      <c r="I443" s="101"/>
      <c r="J443" s="101"/>
      <c r="K443" s="101"/>
      <c r="L443" s="101"/>
      <c r="M443" s="101"/>
      <c r="N443" s="101"/>
      <c r="O443" s="101"/>
      <c r="P443" s="101">
        <f t="shared" si="174"/>
        <v>6900</v>
      </c>
      <c r="Q443" s="101">
        <f t="shared" si="175"/>
        <v>49.285714285714292</v>
      </c>
      <c r="R443" s="101">
        <f t="shared" si="176"/>
        <v>49.285714285714292</v>
      </c>
    </row>
    <row r="444" spans="2:18">
      <c r="B444" s="3" t="s">
        <v>173</v>
      </c>
      <c r="C444" s="2"/>
      <c r="D444" s="111">
        <v>4000</v>
      </c>
      <c r="E444" s="101">
        <v>4000</v>
      </c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>
        <f t="shared" si="174"/>
        <v>0</v>
      </c>
      <c r="Q444" s="101">
        <f t="shared" si="175"/>
        <v>0</v>
      </c>
      <c r="R444" s="101">
        <f t="shared" si="176"/>
        <v>0</v>
      </c>
    </row>
    <row r="445" spans="2:18">
      <c r="B445" s="3" t="s">
        <v>241</v>
      </c>
      <c r="C445" s="2"/>
      <c r="D445" s="111">
        <v>3000</v>
      </c>
      <c r="E445" s="101">
        <v>3000</v>
      </c>
      <c r="F445" s="101">
        <v>696</v>
      </c>
      <c r="G445" s="101"/>
      <c r="H445" s="101"/>
      <c r="I445" s="101"/>
      <c r="J445" s="101"/>
      <c r="K445" s="101"/>
      <c r="L445" s="101"/>
      <c r="M445" s="101"/>
      <c r="N445" s="101"/>
      <c r="O445" s="101"/>
      <c r="P445" s="101">
        <f t="shared" si="174"/>
        <v>696</v>
      </c>
      <c r="Q445" s="101">
        <f t="shared" si="175"/>
        <v>23.200000000000003</v>
      </c>
      <c r="R445" s="101">
        <f t="shared" si="176"/>
        <v>23.200000000000003</v>
      </c>
    </row>
    <row r="446" spans="2:18">
      <c r="B446" s="3" t="s">
        <v>288</v>
      </c>
      <c r="C446" s="2"/>
      <c r="D446" s="111"/>
      <c r="E446" s="101">
        <v>2000</v>
      </c>
      <c r="F446" s="101">
        <v>2000</v>
      </c>
      <c r="G446" s="101"/>
      <c r="H446" s="101"/>
      <c r="I446" s="101"/>
      <c r="J446" s="101"/>
      <c r="K446" s="101"/>
      <c r="L446" s="101"/>
      <c r="M446" s="101"/>
      <c r="N446" s="101"/>
      <c r="O446" s="101"/>
      <c r="P446" s="101">
        <f t="shared" si="174"/>
        <v>2000</v>
      </c>
      <c r="Q446" s="101">
        <v>0</v>
      </c>
      <c r="R446" s="101">
        <f t="shared" si="176"/>
        <v>100</v>
      </c>
    </row>
    <row r="447" spans="2:18">
      <c r="B447" s="3" t="s">
        <v>176</v>
      </c>
      <c r="C447" s="2"/>
      <c r="D447" s="111"/>
      <c r="E447" s="101">
        <v>10000</v>
      </c>
      <c r="F447" s="101">
        <v>2900</v>
      </c>
      <c r="G447" s="101"/>
      <c r="H447" s="101"/>
      <c r="I447" s="101"/>
      <c r="J447" s="101"/>
      <c r="K447" s="101"/>
      <c r="L447" s="101"/>
      <c r="M447" s="101"/>
      <c r="N447" s="101"/>
      <c r="O447" s="101"/>
      <c r="P447" s="101">
        <f t="shared" si="174"/>
        <v>2900</v>
      </c>
      <c r="Q447" s="101">
        <v>0</v>
      </c>
      <c r="R447" s="101">
        <f t="shared" si="176"/>
        <v>28.999999999999996</v>
      </c>
    </row>
    <row r="448" spans="2:18">
      <c r="B448" s="5" t="s">
        <v>3</v>
      </c>
      <c r="C448" s="2"/>
      <c r="D448" s="213">
        <f>SUM(D432:D447)</f>
        <v>700000</v>
      </c>
      <c r="E448" s="213">
        <f t="shared" ref="E448:P448" si="177">SUM(E432:E447)</f>
        <v>700000</v>
      </c>
      <c r="F448" s="213">
        <f t="shared" si="177"/>
        <v>150654.21</v>
      </c>
      <c r="G448" s="213">
        <f t="shared" si="177"/>
        <v>0</v>
      </c>
      <c r="H448" s="213">
        <f t="shared" si="177"/>
        <v>0</v>
      </c>
      <c r="I448" s="213">
        <f t="shared" si="177"/>
        <v>0</v>
      </c>
      <c r="J448" s="213">
        <f t="shared" si="177"/>
        <v>0</v>
      </c>
      <c r="K448" s="213">
        <f t="shared" si="177"/>
        <v>0</v>
      </c>
      <c r="L448" s="213">
        <f t="shared" si="177"/>
        <v>0</v>
      </c>
      <c r="M448" s="213">
        <f t="shared" si="177"/>
        <v>0</v>
      </c>
      <c r="N448" s="213">
        <f t="shared" si="177"/>
        <v>0</v>
      </c>
      <c r="O448" s="213">
        <f t="shared" si="177"/>
        <v>0</v>
      </c>
      <c r="P448" s="213">
        <f t="shared" si="177"/>
        <v>150654.21</v>
      </c>
      <c r="Q448" s="213">
        <f>(P448/D448)*100</f>
        <v>21.522029999999997</v>
      </c>
      <c r="R448" s="213">
        <f>(P448/E448)*100</f>
        <v>21.522029999999997</v>
      </c>
    </row>
    <row r="451" spans="1:18" ht="38.25">
      <c r="A451" s="12" t="s">
        <v>156</v>
      </c>
      <c r="B451" s="77" t="s">
        <v>385</v>
      </c>
      <c r="C451" s="2"/>
      <c r="D451" s="85" t="s">
        <v>490</v>
      </c>
      <c r="E451" s="203" t="s">
        <v>493</v>
      </c>
      <c r="F451" s="204" t="s">
        <v>492</v>
      </c>
      <c r="G451" s="204" t="s">
        <v>497</v>
      </c>
      <c r="H451" s="204" t="s">
        <v>505</v>
      </c>
      <c r="I451" s="204" t="s">
        <v>498</v>
      </c>
      <c r="J451" s="204" t="s">
        <v>499</v>
      </c>
      <c r="K451" s="204" t="s">
        <v>500</v>
      </c>
      <c r="L451" s="204" t="s">
        <v>501</v>
      </c>
      <c r="M451" s="204" t="s">
        <v>502</v>
      </c>
      <c r="N451" s="204" t="s">
        <v>503</v>
      </c>
      <c r="O451" s="204" t="s">
        <v>504</v>
      </c>
      <c r="P451" s="204" t="s">
        <v>496</v>
      </c>
      <c r="Q451" s="204" t="s">
        <v>543</v>
      </c>
      <c r="R451" s="205" t="s">
        <v>495</v>
      </c>
    </row>
    <row r="452" spans="1:18">
      <c r="A452" s="13" t="s">
        <v>333</v>
      </c>
      <c r="B452" s="233" t="s">
        <v>524</v>
      </c>
      <c r="C452" s="2"/>
      <c r="D452" s="111">
        <v>4000</v>
      </c>
      <c r="E452" s="230">
        <v>4000</v>
      </c>
      <c r="F452" s="101">
        <v>469.48</v>
      </c>
      <c r="G452" s="101"/>
      <c r="H452" s="101"/>
      <c r="I452" s="101"/>
      <c r="J452" s="101"/>
      <c r="K452" s="101"/>
      <c r="L452" s="101"/>
      <c r="M452" s="101"/>
      <c r="N452" s="101"/>
      <c r="O452" s="101"/>
      <c r="P452" s="101">
        <f>SUM(F452:O452)</f>
        <v>469.48</v>
      </c>
      <c r="Q452" s="101">
        <f>(P452/D452)*100</f>
        <v>11.737</v>
      </c>
      <c r="R452" s="101">
        <f>(P452/E452)*100</f>
        <v>11.737</v>
      </c>
    </row>
    <row r="453" spans="1:18">
      <c r="A453" s="75"/>
      <c r="B453" s="4" t="s">
        <v>523</v>
      </c>
      <c r="C453" s="2"/>
      <c r="D453" s="111">
        <v>9000</v>
      </c>
      <c r="E453" s="101">
        <v>9000</v>
      </c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>
        <f t="shared" ref="P453:P454" si="178">SUM(F453:O453)</f>
        <v>0</v>
      </c>
      <c r="Q453" s="101">
        <f t="shared" ref="Q453:Q454" si="179">(P453/D453)*100</f>
        <v>0</v>
      </c>
      <c r="R453" s="101">
        <f t="shared" ref="R453:R454" si="180">(P453/E453)*100</f>
        <v>0</v>
      </c>
    </row>
    <row r="454" spans="1:18">
      <c r="B454" s="3" t="s">
        <v>292</v>
      </c>
      <c r="C454" s="2"/>
      <c r="D454" s="111">
        <v>3500</v>
      </c>
      <c r="E454" s="101">
        <v>3500</v>
      </c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>
        <f t="shared" si="178"/>
        <v>0</v>
      </c>
      <c r="Q454" s="101">
        <f t="shared" si="179"/>
        <v>0</v>
      </c>
      <c r="R454" s="101">
        <f t="shared" si="180"/>
        <v>0</v>
      </c>
    </row>
    <row r="455" spans="1:18">
      <c r="B455" s="5" t="s">
        <v>3</v>
      </c>
      <c r="C455" s="2"/>
      <c r="D455" s="213">
        <f>SUM(D452:D454)</f>
        <v>16500</v>
      </c>
      <c r="E455" s="213">
        <f t="shared" ref="E455:P455" si="181">SUM(E452:E454)</f>
        <v>16500</v>
      </c>
      <c r="F455" s="213">
        <f t="shared" si="181"/>
        <v>469.48</v>
      </c>
      <c r="G455" s="213">
        <f t="shared" si="181"/>
        <v>0</v>
      </c>
      <c r="H455" s="213">
        <f t="shared" si="181"/>
        <v>0</v>
      </c>
      <c r="I455" s="213">
        <f t="shared" si="181"/>
        <v>0</v>
      </c>
      <c r="J455" s="213">
        <f t="shared" si="181"/>
        <v>0</v>
      </c>
      <c r="K455" s="213">
        <f t="shared" si="181"/>
        <v>0</v>
      </c>
      <c r="L455" s="213">
        <f t="shared" si="181"/>
        <v>0</v>
      </c>
      <c r="M455" s="213">
        <f t="shared" si="181"/>
        <v>0</v>
      </c>
      <c r="N455" s="213">
        <f t="shared" si="181"/>
        <v>0</v>
      </c>
      <c r="O455" s="213">
        <f t="shared" si="181"/>
        <v>0</v>
      </c>
      <c r="P455" s="213">
        <f t="shared" si="181"/>
        <v>469.48</v>
      </c>
      <c r="Q455" s="213">
        <f>(P455/D455)*100</f>
        <v>2.8453333333333335</v>
      </c>
      <c r="R455" s="213">
        <f>(P455/E455)*100</f>
        <v>2.8453333333333335</v>
      </c>
    </row>
    <row r="458" spans="1:18" ht="38.25">
      <c r="A458" s="12" t="s">
        <v>156</v>
      </c>
      <c r="B458" s="77" t="s">
        <v>350</v>
      </c>
      <c r="C458" s="2"/>
      <c r="D458" s="85" t="s">
        <v>490</v>
      </c>
      <c r="E458" s="203" t="s">
        <v>493</v>
      </c>
      <c r="F458" s="204" t="s">
        <v>492</v>
      </c>
      <c r="G458" s="204" t="s">
        <v>497</v>
      </c>
      <c r="H458" s="204" t="s">
        <v>505</v>
      </c>
      <c r="I458" s="204" t="s">
        <v>498</v>
      </c>
      <c r="J458" s="204" t="s">
        <v>499</v>
      </c>
      <c r="K458" s="204" t="s">
        <v>500</v>
      </c>
      <c r="L458" s="204" t="s">
        <v>501</v>
      </c>
      <c r="M458" s="204" t="s">
        <v>502</v>
      </c>
      <c r="N458" s="204" t="s">
        <v>503</v>
      </c>
      <c r="O458" s="204" t="s">
        <v>504</v>
      </c>
      <c r="P458" s="204" t="s">
        <v>496</v>
      </c>
      <c r="Q458" s="204" t="s">
        <v>543</v>
      </c>
      <c r="R458" s="205" t="s">
        <v>495</v>
      </c>
    </row>
    <row r="459" spans="1:18">
      <c r="A459" s="13" t="s">
        <v>491</v>
      </c>
      <c r="B459" s="4" t="s">
        <v>281</v>
      </c>
      <c r="C459" s="2"/>
      <c r="D459" s="111">
        <v>40000</v>
      </c>
      <c r="E459" s="230">
        <v>40000</v>
      </c>
      <c r="F459" s="101">
        <v>0</v>
      </c>
      <c r="G459" s="101"/>
      <c r="H459" s="101"/>
      <c r="I459" s="101"/>
      <c r="J459" s="101"/>
      <c r="K459" s="101"/>
      <c r="L459" s="101"/>
      <c r="M459" s="101"/>
      <c r="N459" s="101"/>
      <c r="O459" s="101"/>
      <c r="P459" s="101">
        <f>SUM(F459:O459)</f>
        <v>0</v>
      </c>
      <c r="Q459" s="101">
        <f>(P459/D459)*100</f>
        <v>0</v>
      </c>
      <c r="R459" s="101">
        <f>(P459/E459)*100</f>
        <v>0</v>
      </c>
    </row>
    <row r="460" spans="1:18">
      <c r="B460" s="5" t="s">
        <v>3</v>
      </c>
      <c r="C460" s="2"/>
      <c r="D460" s="213">
        <f>SUM(D459)</f>
        <v>40000</v>
      </c>
      <c r="E460" s="213">
        <f t="shared" ref="E460:P460" si="182">SUM(E459)</f>
        <v>40000</v>
      </c>
      <c r="F460" s="213">
        <f t="shared" si="182"/>
        <v>0</v>
      </c>
      <c r="G460" s="213">
        <f t="shared" si="182"/>
        <v>0</v>
      </c>
      <c r="H460" s="213">
        <f t="shared" si="182"/>
        <v>0</v>
      </c>
      <c r="I460" s="213">
        <f t="shared" si="182"/>
        <v>0</v>
      </c>
      <c r="J460" s="213">
        <f t="shared" si="182"/>
        <v>0</v>
      </c>
      <c r="K460" s="213">
        <f t="shared" si="182"/>
        <v>0</v>
      </c>
      <c r="L460" s="213">
        <f t="shared" si="182"/>
        <v>0</v>
      </c>
      <c r="M460" s="213">
        <f t="shared" si="182"/>
        <v>0</v>
      </c>
      <c r="N460" s="213">
        <f t="shared" si="182"/>
        <v>0</v>
      </c>
      <c r="O460" s="213">
        <f t="shared" si="182"/>
        <v>0</v>
      </c>
      <c r="P460" s="213">
        <f t="shared" si="182"/>
        <v>0</v>
      </c>
      <c r="Q460" s="213">
        <f>(P460/D460)*100</f>
        <v>0</v>
      </c>
      <c r="R460" s="213">
        <f>(P460/E460)*100</f>
        <v>0</v>
      </c>
    </row>
    <row r="463" spans="1:18" ht="38.25">
      <c r="B463" s="77" t="s">
        <v>386</v>
      </c>
      <c r="C463" s="2"/>
      <c r="D463" s="85" t="s">
        <v>490</v>
      </c>
      <c r="E463" s="203" t="s">
        <v>493</v>
      </c>
      <c r="F463" s="204" t="s">
        <v>492</v>
      </c>
      <c r="G463" s="204" t="s">
        <v>497</v>
      </c>
      <c r="H463" s="204" t="s">
        <v>505</v>
      </c>
      <c r="I463" s="204" t="s">
        <v>498</v>
      </c>
      <c r="J463" s="204" t="s">
        <v>499</v>
      </c>
      <c r="K463" s="204" t="s">
        <v>500</v>
      </c>
      <c r="L463" s="204" t="s">
        <v>501</v>
      </c>
      <c r="M463" s="204" t="s">
        <v>502</v>
      </c>
      <c r="N463" s="204" t="s">
        <v>503</v>
      </c>
      <c r="O463" s="204" t="s">
        <v>504</v>
      </c>
      <c r="P463" s="204" t="s">
        <v>496</v>
      </c>
      <c r="Q463" s="204" t="s">
        <v>543</v>
      </c>
      <c r="R463" s="205" t="s">
        <v>495</v>
      </c>
    </row>
    <row r="464" spans="1:18">
      <c r="A464" s="12" t="s">
        <v>156</v>
      </c>
      <c r="B464" s="236" t="s">
        <v>15</v>
      </c>
      <c r="C464" s="2"/>
    </row>
    <row r="465" spans="1:18">
      <c r="A465" s="12" t="s">
        <v>293</v>
      </c>
      <c r="B465" s="3" t="s">
        <v>167</v>
      </c>
      <c r="C465" s="2"/>
      <c r="D465" s="111">
        <v>36000</v>
      </c>
      <c r="E465" s="230">
        <v>36000</v>
      </c>
      <c r="F465" s="101">
        <v>0</v>
      </c>
      <c r="G465" s="101"/>
      <c r="H465" s="101"/>
      <c r="I465" s="101"/>
      <c r="J465" s="101"/>
      <c r="K465" s="101"/>
      <c r="L465" s="101"/>
      <c r="M465" s="101"/>
      <c r="N465" s="101"/>
      <c r="O465" s="101"/>
      <c r="P465" s="101">
        <f>SUM(F465:O465)</f>
        <v>0</v>
      </c>
      <c r="Q465" s="101">
        <f>(P465/D465)*100</f>
        <v>0</v>
      </c>
      <c r="R465" s="101">
        <f>(P465/E465)*100</f>
        <v>0</v>
      </c>
    </row>
    <row r="466" spans="1:18">
      <c r="B466" s="3" t="s">
        <v>168</v>
      </c>
      <c r="C466" s="2"/>
      <c r="D466" s="111">
        <v>105000</v>
      </c>
      <c r="E466" s="101">
        <v>105000</v>
      </c>
      <c r="F466" s="101">
        <v>0</v>
      </c>
      <c r="G466" s="101"/>
      <c r="H466" s="101"/>
      <c r="I466" s="101"/>
      <c r="J466" s="101"/>
      <c r="K466" s="101"/>
      <c r="L466" s="101"/>
      <c r="M466" s="101"/>
      <c r="N466" s="101"/>
      <c r="O466" s="101"/>
      <c r="P466" s="101">
        <f t="shared" ref="P466:P479" si="183">SUM(F466:O466)</f>
        <v>0</v>
      </c>
      <c r="Q466" s="101">
        <f t="shared" ref="Q466:Q479" si="184">(P466/D466)*100</f>
        <v>0</v>
      </c>
      <c r="R466" s="101">
        <f t="shared" ref="R466:R479" si="185">(P466/E466)*100</f>
        <v>0</v>
      </c>
    </row>
    <row r="467" spans="1:18">
      <c r="B467" s="3" t="s">
        <v>169</v>
      </c>
      <c r="C467" s="2"/>
      <c r="D467" s="111">
        <v>20000</v>
      </c>
      <c r="E467" s="101">
        <v>20000</v>
      </c>
      <c r="F467" s="101">
        <v>5282</v>
      </c>
      <c r="G467" s="101"/>
      <c r="H467" s="101"/>
      <c r="I467" s="101"/>
      <c r="J467" s="101"/>
      <c r="K467" s="101"/>
      <c r="L467" s="101"/>
      <c r="M467" s="101"/>
      <c r="N467" s="101"/>
      <c r="O467" s="101"/>
      <c r="P467" s="101">
        <f t="shared" si="183"/>
        <v>5282</v>
      </c>
      <c r="Q467" s="101">
        <f t="shared" si="184"/>
        <v>26.41</v>
      </c>
      <c r="R467" s="101">
        <f t="shared" si="185"/>
        <v>26.41</v>
      </c>
    </row>
    <row r="468" spans="1:18" hidden="1">
      <c r="B468" s="3" t="s">
        <v>185</v>
      </c>
      <c r="C468" s="2"/>
      <c r="D468" s="11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>
        <f t="shared" si="183"/>
        <v>0</v>
      </c>
      <c r="Q468" s="101" t="e">
        <f t="shared" si="184"/>
        <v>#DIV/0!</v>
      </c>
      <c r="R468" s="101" t="e">
        <f t="shared" si="185"/>
        <v>#DIV/0!</v>
      </c>
    </row>
    <row r="469" spans="1:18">
      <c r="B469" s="3" t="s">
        <v>268</v>
      </c>
      <c r="C469" s="2"/>
      <c r="D469" s="111">
        <v>60000</v>
      </c>
      <c r="E469" s="101">
        <v>60000</v>
      </c>
      <c r="F469" s="101">
        <v>0</v>
      </c>
      <c r="G469" s="101"/>
      <c r="H469" s="101"/>
      <c r="I469" s="101"/>
      <c r="J469" s="101"/>
      <c r="K469" s="101"/>
      <c r="L469" s="101"/>
      <c r="M469" s="101"/>
      <c r="N469" s="101"/>
      <c r="O469" s="101"/>
      <c r="P469" s="101">
        <f t="shared" si="183"/>
        <v>0</v>
      </c>
      <c r="Q469" s="101">
        <f t="shared" si="184"/>
        <v>0</v>
      </c>
      <c r="R469" s="101">
        <f t="shared" si="185"/>
        <v>0</v>
      </c>
    </row>
    <row r="470" spans="1:18">
      <c r="B470" s="3" t="s">
        <v>181</v>
      </c>
      <c r="C470" s="2"/>
      <c r="D470" s="111">
        <v>60000</v>
      </c>
      <c r="E470" s="101">
        <v>60000</v>
      </c>
      <c r="F470" s="101">
        <v>0</v>
      </c>
      <c r="G470" s="101"/>
      <c r="H470" s="101"/>
      <c r="I470" s="101"/>
      <c r="J470" s="101"/>
      <c r="K470" s="101"/>
      <c r="L470" s="101"/>
      <c r="M470" s="101"/>
      <c r="N470" s="101"/>
      <c r="O470" s="101"/>
      <c r="P470" s="101">
        <f t="shared" si="183"/>
        <v>0</v>
      </c>
      <c r="Q470" s="101">
        <f t="shared" si="184"/>
        <v>0</v>
      </c>
      <c r="R470" s="101">
        <f t="shared" si="185"/>
        <v>0</v>
      </c>
    </row>
    <row r="471" spans="1:18">
      <c r="B471" s="3" t="s">
        <v>170</v>
      </c>
      <c r="C471" s="2"/>
      <c r="D471" s="111">
        <v>80000</v>
      </c>
      <c r="E471" s="101">
        <v>80000</v>
      </c>
      <c r="F471" s="101">
        <v>1116.6099999999999</v>
      </c>
      <c r="G471" s="101"/>
      <c r="H471" s="101"/>
      <c r="I471" s="101"/>
      <c r="J471" s="101"/>
      <c r="K471" s="101"/>
      <c r="L471" s="101"/>
      <c r="M471" s="101"/>
      <c r="N471" s="101"/>
      <c r="O471" s="101"/>
      <c r="P471" s="101">
        <f t="shared" si="183"/>
        <v>1116.6099999999999</v>
      </c>
      <c r="Q471" s="101">
        <f t="shared" si="184"/>
        <v>1.3957625</v>
      </c>
      <c r="R471" s="101">
        <f t="shared" si="185"/>
        <v>1.3957625</v>
      </c>
    </row>
    <row r="472" spans="1:18">
      <c r="B472" s="3" t="s">
        <v>171</v>
      </c>
      <c r="C472" s="2"/>
      <c r="D472" s="111">
        <v>0</v>
      </c>
      <c r="E472" s="101">
        <v>2000</v>
      </c>
      <c r="F472" s="101">
        <v>1821.82</v>
      </c>
      <c r="G472" s="101"/>
      <c r="H472" s="101"/>
      <c r="I472" s="101"/>
      <c r="J472" s="101"/>
      <c r="K472" s="101"/>
      <c r="L472" s="101"/>
      <c r="M472" s="101"/>
      <c r="N472" s="101"/>
      <c r="O472" s="101"/>
      <c r="P472" s="101">
        <f t="shared" si="183"/>
        <v>1821.82</v>
      </c>
      <c r="Q472" s="101">
        <v>0</v>
      </c>
      <c r="R472" s="101">
        <f t="shared" si="185"/>
        <v>91.090999999999994</v>
      </c>
    </row>
    <row r="473" spans="1:18">
      <c r="B473" s="3" t="s">
        <v>172</v>
      </c>
      <c r="C473" s="2"/>
      <c r="D473" s="111">
        <v>60000</v>
      </c>
      <c r="E473" s="101">
        <v>60000</v>
      </c>
      <c r="F473" s="101">
        <v>32086</v>
      </c>
      <c r="G473" s="101"/>
      <c r="H473" s="101"/>
      <c r="I473" s="101"/>
      <c r="J473" s="101"/>
      <c r="K473" s="101"/>
      <c r="L473" s="101"/>
      <c r="M473" s="101"/>
      <c r="N473" s="101"/>
      <c r="O473" s="101"/>
      <c r="P473" s="101">
        <f t="shared" si="183"/>
        <v>32086</v>
      </c>
      <c r="Q473" s="101">
        <f t="shared" si="184"/>
        <v>53.476666666666659</v>
      </c>
      <c r="R473" s="101">
        <f t="shared" si="185"/>
        <v>53.476666666666659</v>
      </c>
    </row>
    <row r="474" spans="1:18">
      <c r="B474" s="3" t="s">
        <v>159</v>
      </c>
      <c r="C474" s="2"/>
      <c r="D474" s="111">
        <v>0</v>
      </c>
      <c r="E474" s="101">
        <v>20000</v>
      </c>
      <c r="F474" s="101">
        <v>11096</v>
      </c>
      <c r="G474" s="101"/>
      <c r="H474" s="101"/>
      <c r="I474" s="101"/>
      <c r="J474" s="101"/>
      <c r="K474" s="101"/>
      <c r="L474" s="101"/>
      <c r="M474" s="101"/>
      <c r="N474" s="101"/>
      <c r="O474" s="101"/>
      <c r="P474" s="101">
        <f t="shared" si="183"/>
        <v>11096</v>
      </c>
      <c r="Q474" s="101">
        <v>0</v>
      </c>
      <c r="R474" s="101">
        <f t="shared" si="185"/>
        <v>55.48</v>
      </c>
    </row>
    <row r="475" spans="1:18" ht="25.5" hidden="1">
      <c r="B475" s="74" t="s">
        <v>328</v>
      </c>
      <c r="C475" s="2"/>
      <c r="D475" s="11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>
        <f t="shared" si="183"/>
        <v>0</v>
      </c>
      <c r="Q475" s="101" t="e">
        <f t="shared" si="184"/>
        <v>#DIV/0!</v>
      </c>
      <c r="R475" s="101" t="e">
        <f t="shared" si="185"/>
        <v>#DIV/0!</v>
      </c>
    </row>
    <row r="476" spans="1:18">
      <c r="B476" s="3" t="s">
        <v>160</v>
      </c>
      <c r="C476" s="2"/>
      <c r="D476" s="111">
        <v>90000</v>
      </c>
      <c r="E476" s="101">
        <v>68000</v>
      </c>
      <c r="F476" s="101">
        <v>1330</v>
      </c>
      <c r="G476" s="101"/>
      <c r="H476" s="101"/>
      <c r="I476" s="101"/>
      <c r="J476" s="101"/>
      <c r="K476" s="101"/>
      <c r="L476" s="101"/>
      <c r="M476" s="101"/>
      <c r="N476" s="101"/>
      <c r="O476" s="101"/>
      <c r="P476" s="101">
        <f t="shared" si="183"/>
        <v>1330</v>
      </c>
      <c r="Q476" s="101">
        <f t="shared" si="184"/>
        <v>1.4777777777777779</v>
      </c>
      <c r="R476" s="101">
        <f t="shared" si="185"/>
        <v>1.9558823529411764</v>
      </c>
    </row>
    <row r="477" spans="1:18" hidden="1">
      <c r="B477" s="3" t="s">
        <v>173</v>
      </c>
      <c r="C477" s="2"/>
      <c r="D477" s="11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>
        <f t="shared" si="183"/>
        <v>0</v>
      </c>
      <c r="Q477" s="101" t="e">
        <f t="shared" si="184"/>
        <v>#DIV/0!</v>
      </c>
      <c r="R477" s="101" t="e">
        <f t="shared" si="185"/>
        <v>#DIV/0!</v>
      </c>
    </row>
    <row r="478" spans="1:18" hidden="1">
      <c r="B478" s="4" t="s">
        <v>240</v>
      </c>
      <c r="C478" s="2"/>
      <c r="D478" s="11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>
        <f t="shared" si="183"/>
        <v>0</v>
      </c>
      <c r="Q478" s="101" t="e">
        <f t="shared" si="184"/>
        <v>#DIV/0!</v>
      </c>
      <c r="R478" s="101" t="e">
        <f t="shared" si="185"/>
        <v>#DIV/0!</v>
      </c>
    </row>
    <row r="479" spans="1:18" hidden="1">
      <c r="B479" s="3" t="s">
        <v>250</v>
      </c>
      <c r="C479" s="2"/>
      <c r="D479" s="11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>
        <f t="shared" si="183"/>
        <v>0</v>
      </c>
      <c r="Q479" s="101" t="e">
        <f t="shared" si="184"/>
        <v>#DIV/0!</v>
      </c>
      <c r="R479" s="101" t="e">
        <f t="shared" si="185"/>
        <v>#DIV/0!</v>
      </c>
    </row>
    <row r="480" spans="1:18">
      <c r="B480" s="4" t="s">
        <v>507</v>
      </c>
      <c r="C480" s="2"/>
      <c r="D480" s="111">
        <v>250000</v>
      </c>
      <c r="E480" s="101">
        <v>250000</v>
      </c>
      <c r="F480" s="101">
        <v>0</v>
      </c>
      <c r="G480" s="101"/>
      <c r="H480" s="101"/>
      <c r="I480" s="101"/>
      <c r="J480" s="101"/>
      <c r="K480" s="101"/>
      <c r="L480" s="101"/>
      <c r="M480" s="101"/>
      <c r="N480" s="101"/>
      <c r="O480" s="101"/>
      <c r="P480" s="101">
        <f t="shared" ref="P480" si="186">SUM(F480:O480)</f>
        <v>0</v>
      </c>
      <c r="Q480" s="101">
        <f t="shared" ref="Q480" si="187">(P480/D480)*100</f>
        <v>0</v>
      </c>
      <c r="R480" s="101">
        <f t="shared" ref="R480" si="188">(P480/E480)*100</f>
        <v>0</v>
      </c>
    </row>
    <row r="481" spans="1:18">
      <c r="B481" s="5" t="s">
        <v>3</v>
      </c>
      <c r="C481" s="2"/>
      <c r="D481" s="213">
        <f>SUM(D465:D480)</f>
        <v>761000</v>
      </c>
      <c r="E481" s="213">
        <f t="shared" ref="E481:P481" si="189">SUM(E465:E480)</f>
        <v>761000</v>
      </c>
      <c r="F481" s="213">
        <f t="shared" si="189"/>
        <v>52732.43</v>
      </c>
      <c r="G481" s="213">
        <f t="shared" si="189"/>
        <v>0</v>
      </c>
      <c r="H481" s="213">
        <f t="shared" si="189"/>
        <v>0</v>
      </c>
      <c r="I481" s="213">
        <f t="shared" si="189"/>
        <v>0</v>
      </c>
      <c r="J481" s="213">
        <f t="shared" si="189"/>
        <v>0</v>
      </c>
      <c r="K481" s="213">
        <f t="shared" si="189"/>
        <v>0</v>
      </c>
      <c r="L481" s="213">
        <f t="shared" si="189"/>
        <v>0</v>
      </c>
      <c r="M481" s="213">
        <f t="shared" si="189"/>
        <v>0</v>
      </c>
      <c r="N481" s="213">
        <f t="shared" si="189"/>
        <v>0</v>
      </c>
      <c r="O481" s="213">
        <f t="shared" si="189"/>
        <v>0</v>
      </c>
      <c r="P481" s="213">
        <f t="shared" si="189"/>
        <v>52732.43</v>
      </c>
      <c r="Q481" s="213">
        <f>(P481/D481)*100</f>
        <v>6.9293600525624184</v>
      </c>
      <c r="R481" s="213">
        <f>(P481/E481)*100</f>
        <v>6.9293600525624184</v>
      </c>
    </row>
    <row r="482" spans="1:18">
      <c r="A482" s="13"/>
      <c r="B482" s="227"/>
      <c r="C482" s="2"/>
      <c r="D482" s="13"/>
    </row>
    <row r="483" spans="1:18">
      <c r="A483" s="12" t="s">
        <v>156</v>
      </c>
      <c r="B483" s="236" t="s">
        <v>294</v>
      </c>
      <c r="C483" s="2"/>
    </row>
    <row r="484" spans="1:18">
      <c r="A484" s="12" t="s">
        <v>295</v>
      </c>
      <c r="B484" s="3" t="s">
        <v>168</v>
      </c>
      <c r="C484" s="2"/>
      <c r="D484" s="111">
        <v>2000</v>
      </c>
      <c r="E484" s="230">
        <v>2000</v>
      </c>
      <c r="F484" s="101">
        <v>0</v>
      </c>
      <c r="G484" s="101"/>
      <c r="H484" s="101"/>
      <c r="I484" s="101"/>
      <c r="J484" s="101"/>
      <c r="K484" s="101"/>
      <c r="L484" s="101"/>
      <c r="M484" s="101"/>
      <c r="N484" s="101"/>
      <c r="O484" s="101"/>
      <c r="P484" s="101">
        <f>SUM(F484:O484)</f>
        <v>0</v>
      </c>
      <c r="Q484" s="101">
        <f>(P484/D484)*100</f>
        <v>0</v>
      </c>
      <c r="R484" s="101">
        <f>(P484/E484)*100</f>
        <v>0</v>
      </c>
    </row>
    <row r="485" spans="1:18">
      <c r="B485" s="3" t="s">
        <v>169</v>
      </c>
      <c r="C485" s="2"/>
      <c r="D485" s="111">
        <v>0</v>
      </c>
      <c r="E485" s="101">
        <v>0</v>
      </c>
      <c r="F485" s="101">
        <v>1528</v>
      </c>
      <c r="G485" s="101"/>
      <c r="H485" s="101"/>
      <c r="I485" s="101"/>
      <c r="J485" s="101"/>
      <c r="K485" s="101"/>
      <c r="L485" s="101"/>
      <c r="M485" s="101"/>
      <c r="N485" s="101"/>
      <c r="O485" s="101"/>
      <c r="P485" s="101">
        <f t="shared" ref="P485:P488" si="190">SUM(F485:O485)</f>
        <v>1528</v>
      </c>
      <c r="Q485" s="101">
        <v>0</v>
      </c>
      <c r="R485" s="101" t="e">
        <f t="shared" ref="R485:R488" si="191">(P485/E485)*100</f>
        <v>#DIV/0!</v>
      </c>
    </row>
    <row r="486" spans="1:18">
      <c r="B486" s="3" t="s">
        <v>181</v>
      </c>
      <c r="C486" s="2"/>
      <c r="D486" s="111">
        <v>15000</v>
      </c>
      <c r="E486" s="101">
        <v>15000</v>
      </c>
      <c r="F486" s="101">
        <v>2250</v>
      </c>
      <c r="G486" s="101"/>
      <c r="H486" s="101"/>
      <c r="I486" s="101"/>
      <c r="J486" s="101"/>
      <c r="K486" s="101"/>
      <c r="L486" s="101"/>
      <c r="M486" s="101"/>
      <c r="N486" s="101"/>
      <c r="O486" s="101"/>
      <c r="P486" s="101">
        <f t="shared" si="190"/>
        <v>2250</v>
      </c>
      <c r="Q486" s="101">
        <f t="shared" ref="Q486:Q488" si="192">(P486/D486)*100</f>
        <v>15</v>
      </c>
      <c r="R486" s="101">
        <f t="shared" si="191"/>
        <v>15</v>
      </c>
    </row>
    <row r="487" spans="1:18">
      <c r="B487" s="3" t="s">
        <v>170</v>
      </c>
      <c r="C487" s="2"/>
      <c r="D487" s="111">
        <v>3000</v>
      </c>
      <c r="E487" s="101">
        <v>3000</v>
      </c>
      <c r="F487" s="101">
        <v>0</v>
      </c>
      <c r="G487" s="101"/>
      <c r="H487" s="101"/>
      <c r="I487" s="101"/>
      <c r="J487" s="101"/>
      <c r="K487" s="101"/>
      <c r="L487" s="101"/>
      <c r="M487" s="101"/>
      <c r="N487" s="101"/>
      <c r="O487" s="101"/>
      <c r="P487" s="101">
        <f t="shared" si="190"/>
        <v>0</v>
      </c>
      <c r="Q487" s="101">
        <f t="shared" si="192"/>
        <v>0</v>
      </c>
      <c r="R487" s="101">
        <f t="shared" si="191"/>
        <v>0</v>
      </c>
    </row>
    <row r="488" spans="1:18">
      <c r="B488" s="3" t="s">
        <v>160</v>
      </c>
      <c r="C488" s="2"/>
      <c r="D488" s="111">
        <v>4000</v>
      </c>
      <c r="E488" s="101">
        <v>4000</v>
      </c>
      <c r="F488" s="101">
        <v>0</v>
      </c>
      <c r="G488" s="101"/>
      <c r="H488" s="101"/>
      <c r="I488" s="101"/>
      <c r="J488" s="101"/>
      <c r="K488" s="101"/>
      <c r="L488" s="101"/>
      <c r="M488" s="101"/>
      <c r="N488" s="101"/>
      <c r="O488" s="101"/>
      <c r="P488" s="101">
        <f t="shared" si="190"/>
        <v>0</v>
      </c>
      <c r="Q488" s="101">
        <f t="shared" si="192"/>
        <v>0</v>
      </c>
      <c r="R488" s="101">
        <f t="shared" si="191"/>
        <v>0</v>
      </c>
    </row>
    <row r="489" spans="1:18">
      <c r="B489" s="4" t="s">
        <v>507</v>
      </c>
      <c r="C489" s="2"/>
      <c r="D489" s="111">
        <v>0</v>
      </c>
      <c r="E489" s="101">
        <v>100000</v>
      </c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>
        <f t="shared" ref="P489" si="193">SUM(F489:O489)</f>
        <v>0</v>
      </c>
      <c r="Q489" s="101">
        <v>0</v>
      </c>
      <c r="R489" s="101">
        <f t="shared" ref="R489" si="194">(P489/E489)*100</f>
        <v>0</v>
      </c>
    </row>
    <row r="490" spans="1:18">
      <c r="B490" s="5" t="s">
        <v>3</v>
      </c>
      <c r="C490" s="2"/>
      <c r="D490" s="213">
        <f>SUM(D484:D489)</f>
        <v>24000</v>
      </c>
      <c r="E490" s="213">
        <f t="shared" ref="E490:P490" si="195">SUM(E484:E489)</f>
        <v>124000</v>
      </c>
      <c r="F490" s="213">
        <f t="shared" si="195"/>
        <v>3778</v>
      </c>
      <c r="G490" s="213">
        <f t="shared" si="195"/>
        <v>0</v>
      </c>
      <c r="H490" s="213">
        <f t="shared" si="195"/>
        <v>0</v>
      </c>
      <c r="I490" s="213">
        <f t="shared" si="195"/>
        <v>0</v>
      </c>
      <c r="J490" s="213">
        <f t="shared" si="195"/>
        <v>0</v>
      </c>
      <c r="K490" s="213">
        <f t="shared" si="195"/>
        <v>0</v>
      </c>
      <c r="L490" s="213">
        <f t="shared" si="195"/>
        <v>0</v>
      </c>
      <c r="M490" s="213">
        <f t="shared" si="195"/>
        <v>0</v>
      </c>
      <c r="N490" s="213">
        <f t="shared" si="195"/>
        <v>0</v>
      </c>
      <c r="O490" s="213">
        <f t="shared" si="195"/>
        <v>0</v>
      </c>
      <c r="P490" s="213">
        <f t="shared" si="195"/>
        <v>3778</v>
      </c>
      <c r="Q490" s="213">
        <f>(P490/D490)*100</f>
        <v>15.741666666666667</v>
      </c>
      <c r="R490" s="213">
        <f>(P490/E490)*100</f>
        <v>3.0467741935483872</v>
      </c>
    </row>
    <row r="491" spans="1:18">
      <c r="B491" s="226"/>
      <c r="C491" s="2"/>
    </row>
    <row r="492" spans="1:18">
      <c r="B492" s="234" t="s">
        <v>296</v>
      </c>
      <c r="C492" s="2"/>
      <c r="D492" s="235">
        <f t="shared" ref="D492:P492" si="196">D481+D490</f>
        <v>785000</v>
      </c>
      <c r="E492" s="235">
        <f t="shared" si="196"/>
        <v>885000</v>
      </c>
      <c r="F492" s="235">
        <f t="shared" si="196"/>
        <v>56510.43</v>
      </c>
      <c r="G492" s="235">
        <f t="shared" si="196"/>
        <v>0</v>
      </c>
      <c r="H492" s="235">
        <f t="shared" si="196"/>
        <v>0</v>
      </c>
      <c r="I492" s="235">
        <f t="shared" si="196"/>
        <v>0</v>
      </c>
      <c r="J492" s="235">
        <f t="shared" si="196"/>
        <v>0</v>
      </c>
      <c r="K492" s="235">
        <f t="shared" si="196"/>
        <v>0</v>
      </c>
      <c r="L492" s="235">
        <f t="shared" si="196"/>
        <v>0</v>
      </c>
      <c r="M492" s="235">
        <f t="shared" si="196"/>
        <v>0</v>
      </c>
      <c r="N492" s="235">
        <f t="shared" si="196"/>
        <v>0</v>
      </c>
      <c r="O492" s="235">
        <f t="shared" si="196"/>
        <v>0</v>
      </c>
      <c r="P492" s="235">
        <f t="shared" si="196"/>
        <v>56510.43</v>
      </c>
      <c r="Q492" s="235">
        <f>(P492/D492)*100</f>
        <v>7.1987808917197453</v>
      </c>
      <c r="R492" s="235">
        <f>(P492/E492)*100</f>
        <v>6.3853593220338984</v>
      </c>
    </row>
    <row r="495" spans="1:18" ht="38.25">
      <c r="A495" s="12" t="s">
        <v>156</v>
      </c>
      <c r="B495" s="77" t="s">
        <v>387</v>
      </c>
      <c r="C495" s="2"/>
      <c r="D495" s="85" t="s">
        <v>490</v>
      </c>
      <c r="E495" s="203" t="s">
        <v>493</v>
      </c>
      <c r="F495" s="204" t="s">
        <v>492</v>
      </c>
      <c r="G495" s="204" t="s">
        <v>497</v>
      </c>
      <c r="H495" s="204" t="s">
        <v>505</v>
      </c>
      <c r="I495" s="204" t="s">
        <v>498</v>
      </c>
      <c r="J495" s="204" t="s">
        <v>499</v>
      </c>
      <c r="K495" s="204" t="s">
        <v>500</v>
      </c>
      <c r="L495" s="204" t="s">
        <v>501</v>
      </c>
      <c r="M495" s="204" t="s">
        <v>502</v>
      </c>
      <c r="N495" s="204" t="s">
        <v>503</v>
      </c>
      <c r="O495" s="204" t="s">
        <v>504</v>
      </c>
      <c r="P495" s="204" t="s">
        <v>496</v>
      </c>
      <c r="Q495" s="204" t="s">
        <v>543</v>
      </c>
      <c r="R495" s="205" t="s">
        <v>495</v>
      </c>
    </row>
    <row r="496" spans="1:18">
      <c r="A496" s="12" t="s">
        <v>297</v>
      </c>
      <c r="B496" s="3" t="s">
        <v>298</v>
      </c>
      <c r="C496" s="2"/>
      <c r="D496" s="111">
        <v>1300000</v>
      </c>
      <c r="E496" s="230">
        <v>1300000</v>
      </c>
      <c r="F496" s="101">
        <v>280385</v>
      </c>
      <c r="G496" s="101"/>
      <c r="H496" s="101"/>
      <c r="I496" s="101"/>
      <c r="J496" s="101"/>
      <c r="K496" s="101"/>
      <c r="L496" s="101"/>
      <c r="M496" s="101"/>
      <c r="N496" s="101"/>
      <c r="O496" s="101"/>
      <c r="P496" s="101">
        <f>SUM(F496:O496)</f>
        <v>280385</v>
      </c>
      <c r="Q496" s="101">
        <f>(P496/D496)*100</f>
        <v>21.568076923076923</v>
      </c>
      <c r="R496" s="101">
        <f>(P496/E496)*100</f>
        <v>21.568076923076923</v>
      </c>
    </row>
    <row r="497" spans="1:18">
      <c r="B497" s="3" t="s">
        <v>299</v>
      </c>
      <c r="C497" s="2"/>
      <c r="D497" s="111">
        <v>410000</v>
      </c>
      <c r="E497" s="230">
        <v>410000</v>
      </c>
      <c r="F497" s="101">
        <v>82860</v>
      </c>
      <c r="G497" s="101"/>
      <c r="H497" s="101"/>
      <c r="I497" s="101"/>
      <c r="J497" s="101"/>
      <c r="K497" s="101"/>
      <c r="L497" s="101"/>
      <c r="M497" s="101"/>
      <c r="N497" s="101"/>
      <c r="O497" s="101"/>
      <c r="P497" s="101">
        <f t="shared" ref="P497:P498" si="197">SUM(F497:O497)</f>
        <v>82860</v>
      </c>
      <c r="Q497" s="101">
        <f t="shared" ref="Q497:Q498" si="198">(P497/D497)*100</f>
        <v>20.209756097560977</v>
      </c>
      <c r="R497" s="101">
        <f t="shared" ref="R497:R498" si="199">(P497/E497)*100</f>
        <v>20.209756097560977</v>
      </c>
    </row>
    <row r="498" spans="1:18">
      <c r="B498" s="3" t="s">
        <v>300</v>
      </c>
      <c r="C498" s="2"/>
      <c r="D498" s="111">
        <v>190000</v>
      </c>
      <c r="E498" s="230">
        <v>190000</v>
      </c>
      <c r="F498" s="101">
        <v>42498</v>
      </c>
      <c r="G498" s="101"/>
      <c r="H498" s="101"/>
      <c r="I498" s="101"/>
      <c r="J498" s="101"/>
      <c r="K498" s="101"/>
      <c r="L498" s="101"/>
      <c r="M498" s="101"/>
      <c r="N498" s="101"/>
      <c r="O498" s="101"/>
      <c r="P498" s="101">
        <f t="shared" si="197"/>
        <v>42498</v>
      </c>
      <c r="Q498" s="101">
        <f t="shared" si="198"/>
        <v>22.367368421052632</v>
      </c>
      <c r="R498" s="101">
        <f t="shared" si="199"/>
        <v>22.367368421052632</v>
      </c>
    </row>
    <row r="499" spans="1:18">
      <c r="B499" s="5" t="s">
        <v>3</v>
      </c>
      <c r="C499" s="2"/>
      <c r="D499" s="213">
        <f>SUM(D496:D498)</f>
        <v>1900000</v>
      </c>
      <c r="E499" s="213">
        <f t="shared" ref="E499:P499" si="200">SUM(E496:E498)</f>
        <v>1900000</v>
      </c>
      <c r="F499" s="213">
        <f t="shared" si="200"/>
        <v>405743</v>
      </c>
      <c r="G499" s="213">
        <f t="shared" si="200"/>
        <v>0</v>
      </c>
      <c r="H499" s="213">
        <f t="shared" si="200"/>
        <v>0</v>
      </c>
      <c r="I499" s="213">
        <f t="shared" si="200"/>
        <v>0</v>
      </c>
      <c r="J499" s="213">
        <f t="shared" si="200"/>
        <v>0</v>
      </c>
      <c r="K499" s="213">
        <f t="shared" si="200"/>
        <v>0</v>
      </c>
      <c r="L499" s="213">
        <f t="shared" si="200"/>
        <v>0</v>
      </c>
      <c r="M499" s="213">
        <f t="shared" si="200"/>
        <v>0</v>
      </c>
      <c r="N499" s="213">
        <f t="shared" si="200"/>
        <v>0</v>
      </c>
      <c r="O499" s="213">
        <f t="shared" si="200"/>
        <v>0</v>
      </c>
      <c r="P499" s="213">
        <f t="shared" si="200"/>
        <v>405743</v>
      </c>
      <c r="Q499" s="213">
        <f>(P499/D499)*100</f>
        <v>21.354894736842105</v>
      </c>
      <c r="R499" s="213">
        <f>(P499/E499)*100</f>
        <v>21.354894736842105</v>
      </c>
    </row>
    <row r="502" spans="1:18" ht="38.25">
      <c r="A502" s="12" t="s">
        <v>156</v>
      </c>
      <c r="B502" s="77" t="s">
        <v>302</v>
      </c>
      <c r="C502" s="2"/>
      <c r="D502" s="85" t="s">
        <v>490</v>
      </c>
      <c r="E502" s="203" t="s">
        <v>493</v>
      </c>
      <c r="F502" s="204" t="s">
        <v>492</v>
      </c>
      <c r="G502" s="204" t="s">
        <v>497</v>
      </c>
      <c r="H502" s="204" t="s">
        <v>505</v>
      </c>
      <c r="I502" s="204" t="s">
        <v>498</v>
      </c>
      <c r="J502" s="204" t="s">
        <v>499</v>
      </c>
      <c r="K502" s="204" t="s">
        <v>500</v>
      </c>
      <c r="L502" s="204" t="s">
        <v>501</v>
      </c>
      <c r="M502" s="204" t="s">
        <v>502</v>
      </c>
      <c r="N502" s="204" t="s">
        <v>503</v>
      </c>
      <c r="O502" s="204" t="s">
        <v>504</v>
      </c>
      <c r="P502" s="204" t="s">
        <v>496</v>
      </c>
      <c r="Q502" s="204" t="s">
        <v>543</v>
      </c>
      <c r="R502" s="205" t="s">
        <v>495</v>
      </c>
    </row>
    <row r="503" spans="1:18">
      <c r="A503" s="12" t="s">
        <v>303</v>
      </c>
      <c r="B503" s="3" t="s">
        <v>235</v>
      </c>
      <c r="C503" s="2"/>
      <c r="D503" s="111">
        <v>14387000</v>
      </c>
      <c r="E503" s="230">
        <v>13764500</v>
      </c>
      <c r="F503" s="101">
        <v>2742066</v>
      </c>
      <c r="G503" s="101"/>
      <c r="H503" s="101"/>
      <c r="I503" s="101"/>
      <c r="J503" s="101"/>
      <c r="K503" s="101"/>
      <c r="L503" s="101"/>
      <c r="M503" s="101"/>
      <c r="N503" s="101"/>
      <c r="O503" s="101"/>
      <c r="P503" s="101">
        <f>SUM(F503:O503)</f>
        <v>2742066</v>
      </c>
      <c r="Q503" s="101">
        <f>(P503/D503)*100</f>
        <v>19.059331340793772</v>
      </c>
      <c r="R503" s="101">
        <f>(P503/E503)*100</f>
        <v>19.921290275709254</v>
      </c>
    </row>
    <row r="504" spans="1:18" hidden="1">
      <c r="B504" s="3" t="s">
        <v>301</v>
      </c>
      <c r="C504" s="2"/>
      <c r="D504" s="11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>
        <f t="shared" ref="P504:P538" si="201">SUM(F504:O504)</f>
        <v>0</v>
      </c>
      <c r="Q504" s="101" t="e">
        <f t="shared" ref="Q504:Q537" si="202">(P504/D504)*100</f>
        <v>#DIV/0!</v>
      </c>
      <c r="R504" s="101" t="e">
        <f t="shared" ref="R504:R538" si="203">(P504/E504)*100</f>
        <v>#DIV/0!</v>
      </c>
    </row>
    <row r="505" spans="1:18">
      <c r="B505" s="3" t="s">
        <v>163</v>
      </c>
      <c r="C505" s="2"/>
      <c r="D505" s="111">
        <v>31000</v>
      </c>
      <c r="E505" s="101">
        <v>31000</v>
      </c>
      <c r="F505" s="101">
        <v>585</v>
      </c>
      <c r="G505" s="101"/>
      <c r="H505" s="101"/>
      <c r="I505" s="101"/>
      <c r="J505" s="101"/>
      <c r="K505" s="101"/>
      <c r="L505" s="101"/>
      <c r="M505" s="101"/>
      <c r="N505" s="101"/>
      <c r="O505" s="101"/>
      <c r="P505" s="101">
        <f t="shared" si="201"/>
        <v>585</v>
      </c>
      <c r="Q505" s="101">
        <f t="shared" si="202"/>
        <v>1.8870967741935485</v>
      </c>
      <c r="R505" s="101">
        <f t="shared" si="203"/>
        <v>1.8870967741935485</v>
      </c>
    </row>
    <row r="506" spans="1:18">
      <c r="B506" s="3" t="s">
        <v>290</v>
      </c>
      <c r="C506" s="2"/>
      <c r="D506" s="111">
        <v>4541000</v>
      </c>
      <c r="E506" s="101">
        <v>4541000</v>
      </c>
      <c r="F506" s="101">
        <v>981148</v>
      </c>
      <c r="G506" s="101"/>
      <c r="H506" s="101"/>
      <c r="I506" s="101"/>
      <c r="J506" s="101"/>
      <c r="K506" s="101"/>
      <c r="L506" s="101"/>
      <c r="M506" s="101"/>
      <c r="N506" s="101"/>
      <c r="O506" s="101"/>
      <c r="P506" s="101">
        <f t="shared" si="201"/>
        <v>981148</v>
      </c>
      <c r="Q506" s="101">
        <f t="shared" si="202"/>
        <v>21.60643030169566</v>
      </c>
      <c r="R506" s="101">
        <f t="shared" si="203"/>
        <v>21.60643030169566</v>
      </c>
    </row>
    <row r="507" spans="1:18">
      <c r="B507" s="3" t="s">
        <v>165</v>
      </c>
      <c r="C507" s="2"/>
      <c r="D507" s="111">
        <v>1952000</v>
      </c>
      <c r="E507" s="101">
        <v>1952000</v>
      </c>
      <c r="F507" s="101">
        <v>420539</v>
      </c>
      <c r="G507" s="101"/>
      <c r="H507" s="101"/>
      <c r="I507" s="101"/>
      <c r="J507" s="101"/>
      <c r="K507" s="101"/>
      <c r="L507" s="101"/>
      <c r="M507" s="101"/>
      <c r="N507" s="101"/>
      <c r="O507" s="101"/>
      <c r="P507" s="101">
        <f t="shared" si="201"/>
        <v>420539</v>
      </c>
      <c r="Q507" s="101">
        <f t="shared" si="202"/>
        <v>21.544006147540983</v>
      </c>
      <c r="R507" s="101">
        <f t="shared" si="203"/>
        <v>21.544006147540983</v>
      </c>
    </row>
    <row r="508" spans="1:18">
      <c r="B508" s="3" t="s">
        <v>166</v>
      </c>
      <c r="C508" s="2"/>
      <c r="D508" s="111">
        <v>70000</v>
      </c>
      <c r="E508" s="101">
        <v>70000</v>
      </c>
      <c r="F508" s="101">
        <v>16027</v>
      </c>
      <c r="G508" s="101"/>
      <c r="H508" s="101"/>
      <c r="I508" s="101"/>
      <c r="J508" s="101"/>
      <c r="K508" s="101"/>
      <c r="L508" s="101"/>
      <c r="M508" s="101"/>
      <c r="N508" s="101"/>
      <c r="O508" s="101"/>
      <c r="P508" s="101">
        <f t="shared" si="201"/>
        <v>16027</v>
      </c>
      <c r="Q508" s="101">
        <f t="shared" si="202"/>
        <v>22.895714285714284</v>
      </c>
      <c r="R508" s="101">
        <f t="shared" si="203"/>
        <v>22.895714285714284</v>
      </c>
    </row>
    <row r="509" spans="1:18">
      <c r="B509" s="3" t="s">
        <v>304</v>
      </c>
      <c r="C509" s="2"/>
      <c r="D509" s="111">
        <v>5000</v>
      </c>
      <c r="E509" s="101">
        <v>5000</v>
      </c>
      <c r="F509" s="101">
        <v>1189</v>
      </c>
      <c r="G509" s="101"/>
      <c r="H509" s="101"/>
      <c r="I509" s="101"/>
      <c r="J509" s="101"/>
      <c r="K509" s="101"/>
      <c r="L509" s="101"/>
      <c r="M509" s="101"/>
      <c r="N509" s="101"/>
      <c r="O509" s="101"/>
      <c r="P509" s="101">
        <f t="shared" si="201"/>
        <v>1189</v>
      </c>
      <c r="Q509" s="101">
        <f t="shared" si="202"/>
        <v>23.78</v>
      </c>
      <c r="R509" s="101">
        <f t="shared" si="203"/>
        <v>23.78</v>
      </c>
    </row>
    <row r="510" spans="1:18">
      <c r="B510" s="3" t="s">
        <v>236</v>
      </c>
      <c r="C510" s="2"/>
      <c r="D510" s="111">
        <v>350000</v>
      </c>
      <c r="E510" s="101">
        <v>350000</v>
      </c>
      <c r="F510" s="101">
        <v>7262</v>
      </c>
      <c r="G510" s="101"/>
      <c r="H510" s="101"/>
      <c r="I510" s="101"/>
      <c r="J510" s="101"/>
      <c r="K510" s="101"/>
      <c r="L510" s="101"/>
      <c r="M510" s="101"/>
      <c r="N510" s="101"/>
      <c r="O510" s="101"/>
      <c r="P510" s="101">
        <f t="shared" si="201"/>
        <v>7262</v>
      </c>
      <c r="Q510" s="101">
        <f t="shared" si="202"/>
        <v>2.0748571428571427</v>
      </c>
      <c r="R510" s="101">
        <f t="shared" si="203"/>
        <v>2.0748571428571427</v>
      </c>
    </row>
    <row r="511" spans="1:18">
      <c r="B511" s="3" t="s">
        <v>168</v>
      </c>
      <c r="C511" s="2"/>
      <c r="D511" s="111">
        <v>350000</v>
      </c>
      <c r="E511" s="101">
        <v>386300</v>
      </c>
      <c r="F511" s="101">
        <v>18523</v>
      </c>
      <c r="G511" s="101"/>
      <c r="H511" s="101"/>
      <c r="I511" s="101"/>
      <c r="J511" s="101"/>
      <c r="K511" s="101"/>
      <c r="L511" s="101"/>
      <c r="M511" s="101"/>
      <c r="N511" s="101"/>
      <c r="O511" s="101"/>
      <c r="P511" s="101">
        <f t="shared" si="201"/>
        <v>18523</v>
      </c>
      <c r="Q511" s="101">
        <f t="shared" si="202"/>
        <v>5.2922857142857138</v>
      </c>
      <c r="R511" s="101">
        <f t="shared" si="203"/>
        <v>4.7949779963758736</v>
      </c>
    </row>
    <row r="512" spans="1:18">
      <c r="B512" s="74" t="s">
        <v>334</v>
      </c>
      <c r="C512" s="2"/>
      <c r="D512" s="111">
        <v>400000</v>
      </c>
      <c r="E512" s="101">
        <v>400000</v>
      </c>
      <c r="F512" s="101">
        <v>129648</v>
      </c>
      <c r="G512" s="101"/>
      <c r="H512" s="101"/>
      <c r="I512" s="101"/>
      <c r="J512" s="101"/>
      <c r="K512" s="101"/>
      <c r="L512" s="101"/>
      <c r="M512" s="101"/>
      <c r="N512" s="101"/>
      <c r="O512" s="101"/>
      <c r="P512" s="101">
        <f t="shared" si="201"/>
        <v>129648</v>
      </c>
      <c r="Q512" s="101">
        <f t="shared" si="202"/>
        <v>32.411999999999999</v>
      </c>
      <c r="R512" s="101">
        <f t="shared" si="203"/>
        <v>32.411999999999999</v>
      </c>
    </row>
    <row r="513" spans="1:18">
      <c r="B513" s="3" t="s">
        <v>185</v>
      </c>
      <c r="C513" s="2"/>
      <c r="D513" s="111">
        <v>40000</v>
      </c>
      <c r="E513" s="101">
        <v>40000</v>
      </c>
      <c r="F513" s="101">
        <v>0</v>
      </c>
      <c r="G513" s="101"/>
      <c r="H513" s="101"/>
      <c r="I513" s="101"/>
      <c r="J513" s="101"/>
      <c r="K513" s="101"/>
      <c r="L513" s="101"/>
      <c r="M513" s="101"/>
      <c r="N513" s="101"/>
      <c r="O513" s="101"/>
      <c r="P513" s="101">
        <f t="shared" si="201"/>
        <v>0</v>
      </c>
      <c r="Q513" s="101">
        <f t="shared" si="202"/>
        <v>0</v>
      </c>
      <c r="R513" s="101">
        <f t="shared" si="203"/>
        <v>0</v>
      </c>
    </row>
    <row r="514" spans="1:18">
      <c r="B514" s="3" t="s">
        <v>268</v>
      </c>
      <c r="C514" s="2"/>
      <c r="D514" s="111">
        <v>600000</v>
      </c>
      <c r="E514" s="101">
        <v>518000</v>
      </c>
      <c r="F514" s="101">
        <v>106500</v>
      </c>
      <c r="G514" s="101"/>
      <c r="H514" s="101"/>
      <c r="I514" s="101"/>
      <c r="J514" s="101"/>
      <c r="K514" s="101"/>
      <c r="L514" s="101"/>
      <c r="M514" s="101"/>
      <c r="N514" s="101"/>
      <c r="O514" s="101"/>
      <c r="P514" s="101">
        <f t="shared" si="201"/>
        <v>106500</v>
      </c>
      <c r="Q514" s="101">
        <f t="shared" si="202"/>
        <v>17.75</v>
      </c>
      <c r="R514" s="101">
        <f t="shared" si="203"/>
        <v>20.559845559845559</v>
      </c>
    </row>
    <row r="515" spans="1:18">
      <c r="B515" s="3" t="s">
        <v>181</v>
      </c>
      <c r="C515" s="2"/>
      <c r="D515" s="111">
        <v>350000</v>
      </c>
      <c r="E515" s="101">
        <v>350000</v>
      </c>
      <c r="F515" s="101">
        <v>67260</v>
      </c>
      <c r="G515" s="101"/>
      <c r="H515" s="101"/>
      <c r="I515" s="101"/>
      <c r="J515" s="101"/>
      <c r="K515" s="101"/>
      <c r="L515" s="101"/>
      <c r="M515" s="101"/>
      <c r="N515" s="101"/>
      <c r="O515" s="101"/>
      <c r="P515" s="101">
        <f t="shared" si="201"/>
        <v>67260</v>
      </c>
      <c r="Q515" s="101">
        <f t="shared" si="202"/>
        <v>19.217142857142857</v>
      </c>
      <c r="R515" s="101">
        <f t="shared" si="203"/>
        <v>19.217142857142857</v>
      </c>
    </row>
    <row r="516" spans="1:18">
      <c r="B516" s="3" t="s">
        <v>170</v>
      </c>
      <c r="C516" s="2"/>
      <c r="D516" s="111">
        <v>130000</v>
      </c>
      <c r="E516" s="101">
        <v>130000</v>
      </c>
      <c r="F516" s="101">
        <v>17358.97</v>
      </c>
      <c r="G516" s="101"/>
      <c r="H516" s="101"/>
      <c r="I516" s="101"/>
      <c r="J516" s="101"/>
      <c r="K516" s="101"/>
      <c r="L516" s="101"/>
      <c r="M516" s="101"/>
      <c r="N516" s="101"/>
      <c r="O516" s="101"/>
      <c r="P516" s="101">
        <f t="shared" si="201"/>
        <v>17358.97</v>
      </c>
      <c r="Q516" s="101">
        <f t="shared" si="202"/>
        <v>13.353053846153848</v>
      </c>
      <c r="R516" s="101">
        <f t="shared" si="203"/>
        <v>13.353053846153848</v>
      </c>
    </row>
    <row r="517" spans="1:18">
      <c r="B517" s="12" t="s">
        <v>237</v>
      </c>
      <c r="C517" s="2"/>
      <c r="D517" s="111">
        <v>250000</v>
      </c>
      <c r="E517" s="101">
        <v>250000</v>
      </c>
      <c r="F517" s="101">
        <v>88733</v>
      </c>
      <c r="G517" s="101"/>
      <c r="H517" s="101"/>
      <c r="I517" s="101"/>
      <c r="J517" s="101"/>
      <c r="K517" s="101"/>
      <c r="L517" s="101"/>
      <c r="M517" s="101"/>
      <c r="N517" s="101"/>
      <c r="O517" s="101"/>
      <c r="P517" s="101">
        <f t="shared" si="201"/>
        <v>88733</v>
      </c>
      <c r="Q517" s="101">
        <f t="shared" si="202"/>
        <v>35.493200000000002</v>
      </c>
      <c r="R517" s="101">
        <f t="shared" si="203"/>
        <v>35.493200000000002</v>
      </c>
    </row>
    <row r="518" spans="1:18">
      <c r="B518" s="3" t="s">
        <v>171</v>
      </c>
      <c r="C518" s="2"/>
      <c r="D518" s="111">
        <v>500000</v>
      </c>
      <c r="E518" s="101">
        <v>500000</v>
      </c>
      <c r="F518" s="101">
        <v>67463.820000000007</v>
      </c>
      <c r="G518" s="101"/>
      <c r="H518" s="101"/>
      <c r="I518" s="101"/>
      <c r="J518" s="101"/>
      <c r="K518" s="101"/>
      <c r="L518" s="101"/>
      <c r="M518" s="101"/>
      <c r="N518" s="101"/>
      <c r="O518" s="101"/>
      <c r="P518" s="101">
        <f t="shared" si="201"/>
        <v>67463.820000000007</v>
      </c>
      <c r="Q518" s="101">
        <f t="shared" si="202"/>
        <v>13.492764000000001</v>
      </c>
      <c r="R518" s="101">
        <f t="shared" si="203"/>
        <v>13.492764000000001</v>
      </c>
    </row>
    <row r="519" spans="1:18">
      <c r="B519" s="3" t="s">
        <v>172</v>
      </c>
      <c r="C519" s="2"/>
      <c r="D519" s="111">
        <v>400000</v>
      </c>
      <c r="E519" s="101">
        <v>400000</v>
      </c>
      <c r="F519" s="101">
        <v>314490</v>
      </c>
      <c r="G519" s="101"/>
      <c r="H519" s="101"/>
      <c r="I519" s="101"/>
      <c r="J519" s="101"/>
      <c r="K519" s="101"/>
      <c r="L519" s="101"/>
      <c r="M519" s="101"/>
      <c r="N519" s="101"/>
      <c r="O519" s="101"/>
      <c r="P519" s="101">
        <f t="shared" si="201"/>
        <v>314490</v>
      </c>
      <c r="Q519" s="101">
        <f t="shared" si="202"/>
        <v>78.622500000000002</v>
      </c>
      <c r="R519" s="101">
        <f t="shared" si="203"/>
        <v>78.622500000000002</v>
      </c>
    </row>
    <row r="520" spans="1:18">
      <c r="B520" s="12" t="s">
        <v>305</v>
      </c>
      <c r="C520" s="2"/>
      <c r="D520" s="111">
        <v>50000</v>
      </c>
      <c r="E520" s="101">
        <v>50000</v>
      </c>
      <c r="F520" s="101">
        <v>21645</v>
      </c>
      <c r="G520" s="101"/>
      <c r="H520" s="101"/>
      <c r="I520" s="101"/>
      <c r="J520" s="101"/>
      <c r="K520" s="101"/>
      <c r="L520" s="101"/>
      <c r="M520" s="101"/>
      <c r="N520" s="101"/>
      <c r="O520" s="101"/>
      <c r="P520" s="101">
        <f t="shared" si="201"/>
        <v>21645</v>
      </c>
      <c r="Q520" s="101">
        <f t="shared" si="202"/>
        <v>43.29</v>
      </c>
      <c r="R520" s="101">
        <f t="shared" si="203"/>
        <v>43.29</v>
      </c>
    </row>
    <row r="521" spans="1:18">
      <c r="B521" s="232" t="s">
        <v>515</v>
      </c>
      <c r="C521" s="2"/>
      <c r="D521" s="111">
        <v>300000</v>
      </c>
      <c r="E521" s="101">
        <v>300000</v>
      </c>
      <c r="F521" s="101">
        <v>60937.62</v>
      </c>
      <c r="G521" s="101"/>
      <c r="H521" s="101"/>
      <c r="I521" s="101"/>
      <c r="J521" s="101"/>
      <c r="K521" s="101"/>
      <c r="L521" s="101"/>
      <c r="M521" s="101"/>
      <c r="N521" s="101"/>
      <c r="O521" s="101"/>
      <c r="P521" s="101">
        <f t="shared" si="201"/>
        <v>60937.62</v>
      </c>
      <c r="Q521" s="101">
        <f t="shared" si="202"/>
        <v>20.312540000000002</v>
      </c>
      <c r="R521" s="101">
        <f t="shared" si="203"/>
        <v>20.312540000000002</v>
      </c>
    </row>
    <row r="522" spans="1:18">
      <c r="B522" s="3" t="s">
        <v>159</v>
      </c>
      <c r="C522" s="2"/>
      <c r="D522" s="111">
        <v>150000</v>
      </c>
      <c r="E522" s="101">
        <v>150000</v>
      </c>
      <c r="F522" s="101">
        <v>47070</v>
      </c>
      <c r="G522" s="101"/>
      <c r="H522" s="101"/>
      <c r="I522" s="101"/>
      <c r="J522" s="101"/>
      <c r="K522" s="101"/>
      <c r="L522" s="101"/>
      <c r="M522" s="101"/>
      <c r="N522" s="101"/>
      <c r="O522" s="101"/>
      <c r="P522" s="101">
        <f t="shared" si="201"/>
        <v>47070</v>
      </c>
      <c r="Q522" s="101">
        <f t="shared" si="202"/>
        <v>31.380000000000003</v>
      </c>
      <c r="R522" s="101">
        <f t="shared" si="203"/>
        <v>31.380000000000003</v>
      </c>
    </row>
    <row r="523" spans="1:18" ht="25.5">
      <c r="B523" s="74" t="s">
        <v>328</v>
      </c>
      <c r="C523" s="2"/>
      <c r="D523" s="111">
        <v>50000</v>
      </c>
      <c r="E523" s="101">
        <v>150000</v>
      </c>
      <c r="F523" s="101">
        <v>129976.3</v>
      </c>
      <c r="G523" s="101"/>
      <c r="H523" s="101"/>
      <c r="I523" s="101"/>
      <c r="J523" s="101"/>
      <c r="K523" s="101"/>
      <c r="L523" s="101"/>
      <c r="M523" s="101"/>
      <c r="N523" s="101"/>
      <c r="O523" s="101"/>
      <c r="P523" s="101">
        <f t="shared" si="201"/>
        <v>129976.3</v>
      </c>
      <c r="Q523" s="101">
        <f t="shared" si="202"/>
        <v>259.95260000000002</v>
      </c>
      <c r="R523" s="101">
        <f t="shared" si="203"/>
        <v>86.650866666666673</v>
      </c>
    </row>
    <row r="524" spans="1:18">
      <c r="A524" s="12"/>
      <c r="B524" s="74" t="s">
        <v>160</v>
      </c>
      <c r="C524" s="2"/>
      <c r="D524" s="111">
        <v>500000</v>
      </c>
      <c r="E524" s="101">
        <v>500000</v>
      </c>
      <c r="F524" s="101">
        <v>280006.63</v>
      </c>
      <c r="G524" s="101"/>
      <c r="H524" s="101"/>
      <c r="I524" s="101"/>
      <c r="J524" s="101"/>
      <c r="K524" s="101"/>
      <c r="L524" s="101"/>
      <c r="M524" s="101"/>
      <c r="N524" s="101"/>
      <c r="O524" s="101"/>
      <c r="P524" s="101">
        <f t="shared" si="201"/>
        <v>280006.63</v>
      </c>
      <c r="Q524" s="101">
        <f t="shared" si="202"/>
        <v>56.001325999999999</v>
      </c>
      <c r="R524" s="101">
        <f t="shared" si="203"/>
        <v>56.001325999999999</v>
      </c>
    </row>
    <row r="525" spans="1:18">
      <c r="B525" s="3" t="s">
        <v>173</v>
      </c>
      <c r="C525" s="2"/>
      <c r="D525" s="111">
        <v>160000</v>
      </c>
      <c r="E525" s="101">
        <v>160000</v>
      </c>
      <c r="F525" s="101">
        <v>20245.900000000001</v>
      </c>
      <c r="G525" s="101"/>
      <c r="H525" s="101"/>
      <c r="I525" s="101"/>
      <c r="J525" s="101"/>
      <c r="K525" s="101"/>
      <c r="L525" s="101"/>
      <c r="M525" s="101"/>
      <c r="N525" s="101"/>
      <c r="O525" s="101"/>
      <c r="P525" s="101">
        <f t="shared" si="201"/>
        <v>20245.900000000001</v>
      </c>
      <c r="Q525" s="101">
        <f t="shared" si="202"/>
        <v>12.653687500000002</v>
      </c>
      <c r="R525" s="101">
        <f t="shared" si="203"/>
        <v>12.653687500000002</v>
      </c>
    </row>
    <row r="526" spans="1:18">
      <c r="B526" s="4" t="s">
        <v>240</v>
      </c>
      <c r="C526" s="2"/>
      <c r="D526" s="111">
        <v>20000</v>
      </c>
      <c r="E526" s="101">
        <v>20000</v>
      </c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>
        <f t="shared" si="201"/>
        <v>0</v>
      </c>
      <c r="Q526" s="101">
        <f t="shared" si="202"/>
        <v>0</v>
      </c>
      <c r="R526" s="101">
        <f t="shared" si="203"/>
        <v>0</v>
      </c>
    </row>
    <row r="527" spans="1:18">
      <c r="B527" s="3" t="s">
        <v>306</v>
      </c>
      <c r="C527" s="2"/>
      <c r="D527" s="111">
        <v>60000</v>
      </c>
      <c r="E527" s="101">
        <v>60000</v>
      </c>
      <c r="F527" s="101">
        <v>12252</v>
      </c>
      <c r="G527" s="101"/>
      <c r="H527" s="101"/>
      <c r="I527" s="101"/>
      <c r="J527" s="101"/>
      <c r="K527" s="101"/>
      <c r="L527" s="101"/>
      <c r="M527" s="101"/>
      <c r="N527" s="101"/>
      <c r="O527" s="101"/>
      <c r="P527" s="101">
        <f t="shared" si="201"/>
        <v>12252</v>
      </c>
      <c r="Q527" s="101">
        <f t="shared" si="202"/>
        <v>20.419999999999998</v>
      </c>
      <c r="R527" s="101">
        <f t="shared" si="203"/>
        <v>20.419999999999998</v>
      </c>
    </row>
    <row r="528" spans="1:18">
      <c r="B528" s="3" t="s">
        <v>250</v>
      </c>
      <c r="C528" s="2"/>
      <c r="D528" s="111">
        <v>20000</v>
      </c>
      <c r="E528" s="101">
        <v>20000</v>
      </c>
      <c r="F528" s="101">
        <v>6814</v>
      </c>
      <c r="G528" s="101"/>
      <c r="H528" s="101"/>
      <c r="I528" s="101"/>
      <c r="J528" s="101"/>
      <c r="K528" s="101"/>
      <c r="L528" s="101"/>
      <c r="M528" s="101"/>
      <c r="N528" s="101"/>
      <c r="O528" s="101"/>
      <c r="P528" s="101">
        <f t="shared" si="201"/>
        <v>6814</v>
      </c>
      <c r="Q528" s="101">
        <f t="shared" si="202"/>
        <v>34.07</v>
      </c>
      <c r="R528" s="101">
        <f t="shared" si="203"/>
        <v>34.07</v>
      </c>
    </row>
    <row r="529" spans="2:18">
      <c r="B529" s="3" t="s">
        <v>307</v>
      </c>
      <c r="C529" s="2"/>
      <c r="D529" s="111">
        <v>10000</v>
      </c>
      <c r="E529" s="101">
        <v>10000</v>
      </c>
      <c r="F529" s="101">
        <v>0</v>
      </c>
      <c r="G529" s="101"/>
      <c r="H529" s="101"/>
      <c r="I529" s="101"/>
      <c r="J529" s="101"/>
      <c r="K529" s="101"/>
      <c r="L529" s="101"/>
      <c r="M529" s="101"/>
      <c r="N529" s="101"/>
      <c r="O529" s="101"/>
      <c r="P529" s="101">
        <f t="shared" si="201"/>
        <v>0</v>
      </c>
      <c r="Q529" s="101">
        <f t="shared" si="202"/>
        <v>0</v>
      </c>
      <c r="R529" s="101">
        <f t="shared" si="203"/>
        <v>0</v>
      </c>
    </row>
    <row r="530" spans="2:18">
      <c r="B530" s="3" t="s">
        <v>308</v>
      </c>
      <c r="C530" s="2"/>
      <c r="D530" s="111">
        <v>0</v>
      </c>
      <c r="E530" s="101">
        <v>52000</v>
      </c>
      <c r="F530" s="101">
        <v>16229</v>
      </c>
      <c r="G530" s="101"/>
      <c r="H530" s="101"/>
      <c r="I530" s="101"/>
      <c r="J530" s="101"/>
      <c r="K530" s="101"/>
      <c r="L530" s="101"/>
      <c r="M530" s="101"/>
      <c r="N530" s="101"/>
      <c r="O530" s="101"/>
      <c r="P530" s="101">
        <f t="shared" si="201"/>
        <v>16229</v>
      </c>
      <c r="Q530" s="101">
        <v>0</v>
      </c>
      <c r="R530" s="101">
        <f t="shared" si="203"/>
        <v>31.209615384615386</v>
      </c>
    </row>
    <row r="531" spans="2:18">
      <c r="B531" s="3" t="s">
        <v>253</v>
      </c>
      <c r="C531" s="2"/>
      <c r="D531" s="111">
        <v>40000</v>
      </c>
      <c r="E531" s="101">
        <v>40000</v>
      </c>
      <c r="F531" s="101">
        <v>6559</v>
      </c>
      <c r="G531" s="101"/>
      <c r="H531" s="101"/>
      <c r="I531" s="101"/>
      <c r="J531" s="101"/>
      <c r="K531" s="101"/>
      <c r="L531" s="101"/>
      <c r="M531" s="101"/>
      <c r="N531" s="101"/>
      <c r="O531" s="101"/>
      <c r="P531" s="101">
        <f t="shared" si="201"/>
        <v>6559</v>
      </c>
      <c r="Q531" s="101">
        <f t="shared" si="202"/>
        <v>16.397500000000001</v>
      </c>
      <c r="R531" s="101">
        <f t="shared" si="203"/>
        <v>16.397500000000001</v>
      </c>
    </row>
    <row r="532" spans="2:18" ht="25.5">
      <c r="B532" s="76" t="s">
        <v>335</v>
      </c>
      <c r="C532" s="2"/>
      <c r="D532" s="111">
        <v>50000</v>
      </c>
      <c r="E532" s="101">
        <v>50000</v>
      </c>
      <c r="F532" s="101">
        <v>11872.4</v>
      </c>
      <c r="G532" s="101"/>
      <c r="H532" s="101"/>
      <c r="I532" s="101"/>
      <c r="J532" s="101"/>
      <c r="K532" s="101"/>
      <c r="L532" s="101"/>
      <c r="M532" s="101"/>
      <c r="N532" s="101"/>
      <c r="O532" s="101"/>
      <c r="P532" s="101">
        <f t="shared" si="201"/>
        <v>11872.4</v>
      </c>
      <c r="Q532" s="101">
        <f t="shared" si="202"/>
        <v>23.744799999999998</v>
      </c>
      <c r="R532" s="101">
        <f t="shared" si="203"/>
        <v>23.744799999999998</v>
      </c>
    </row>
    <row r="533" spans="2:18" hidden="1">
      <c r="B533" s="4" t="s">
        <v>342</v>
      </c>
      <c r="C533" s="2"/>
      <c r="D533" s="11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>
        <f t="shared" si="201"/>
        <v>0</v>
      </c>
      <c r="Q533" s="101" t="e">
        <f t="shared" si="202"/>
        <v>#DIV/0!</v>
      </c>
      <c r="R533" s="101" t="e">
        <f t="shared" si="203"/>
        <v>#DIV/0!</v>
      </c>
    </row>
    <row r="534" spans="2:18">
      <c r="B534" s="3" t="s">
        <v>174</v>
      </c>
      <c r="C534" s="2"/>
      <c r="D534" s="111">
        <v>450000</v>
      </c>
      <c r="E534" s="101">
        <v>450000</v>
      </c>
      <c r="F534" s="101">
        <v>77957</v>
      </c>
      <c r="G534" s="101"/>
      <c r="H534" s="101"/>
      <c r="I534" s="101"/>
      <c r="J534" s="101"/>
      <c r="K534" s="101"/>
      <c r="L534" s="101"/>
      <c r="M534" s="101"/>
      <c r="N534" s="101"/>
      <c r="O534" s="101"/>
      <c r="P534" s="101">
        <f t="shared" si="201"/>
        <v>77957</v>
      </c>
      <c r="Q534" s="101">
        <f t="shared" si="202"/>
        <v>17.323777777777778</v>
      </c>
      <c r="R534" s="101">
        <f t="shared" si="203"/>
        <v>17.323777777777778</v>
      </c>
    </row>
    <row r="535" spans="2:18">
      <c r="B535" s="3" t="s">
        <v>309</v>
      </c>
      <c r="C535" s="2"/>
      <c r="D535" s="111">
        <v>40000</v>
      </c>
      <c r="E535" s="101">
        <v>70000</v>
      </c>
      <c r="F535" s="101">
        <v>50000</v>
      </c>
      <c r="G535" s="101"/>
      <c r="H535" s="101"/>
      <c r="I535" s="101"/>
      <c r="J535" s="101"/>
      <c r="K535" s="101"/>
      <c r="L535" s="101"/>
      <c r="M535" s="101"/>
      <c r="N535" s="101"/>
      <c r="O535" s="101"/>
      <c r="P535" s="101">
        <f t="shared" si="201"/>
        <v>50000</v>
      </c>
      <c r="Q535" s="101">
        <f t="shared" si="202"/>
        <v>125</v>
      </c>
      <c r="R535" s="101">
        <f t="shared" si="203"/>
        <v>71.428571428571431</v>
      </c>
    </row>
    <row r="536" spans="2:18">
      <c r="B536" s="3" t="s">
        <v>243</v>
      </c>
      <c r="C536" s="2"/>
      <c r="D536" s="111">
        <v>50000</v>
      </c>
      <c r="E536" s="101">
        <v>50000</v>
      </c>
      <c r="F536" s="101">
        <v>16608</v>
      </c>
      <c r="G536" s="101"/>
      <c r="H536" s="101"/>
      <c r="I536" s="101"/>
      <c r="J536" s="101"/>
      <c r="K536" s="101"/>
      <c r="L536" s="101"/>
      <c r="M536" s="101"/>
      <c r="N536" s="101"/>
      <c r="O536" s="101"/>
      <c r="P536" s="101">
        <f t="shared" si="201"/>
        <v>16608</v>
      </c>
      <c r="Q536" s="101">
        <f t="shared" si="202"/>
        <v>33.216000000000001</v>
      </c>
      <c r="R536" s="101">
        <f t="shared" si="203"/>
        <v>33.216000000000001</v>
      </c>
    </row>
    <row r="537" spans="2:18">
      <c r="B537" s="3" t="s">
        <v>176</v>
      </c>
      <c r="C537" s="2"/>
      <c r="D537" s="111">
        <v>800000</v>
      </c>
      <c r="E537" s="101">
        <v>800000</v>
      </c>
      <c r="F537" s="101">
        <v>227085</v>
      </c>
      <c r="G537" s="101"/>
      <c r="H537" s="101"/>
      <c r="I537" s="101"/>
      <c r="J537" s="101"/>
      <c r="K537" s="101"/>
      <c r="L537" s="101"/>
      <c r="M537" s="101"/>
      <c r="N537" s="101"/>
      <c r="O537" s="101"/>
      <c r="P537" s="101">
        <f t="shared" si="201"/>
        <v>227085</v>
      </c>
      <c r="Q537" s="101">
        <f t="shared" si="202"/>
        <v>28.385624999999997</v>
      </c>
      <c r="R537" s="101">
        <f t="shared" si="203"/>
        <v>28.385624999999997</v>
      </c>
    </row>
    <row r="538" spans="2:18">
      <c r="B538" s="3" t="s">
        <v>310</v>
      </c>
      <c r="C538" s="2"/>
      <c r="D538" s="111">
        <v>0</v>
      </c>
      <c r="E538" s="101">
        <v>510000</v>
      </c>
      <c r="F538" s="101">
        <v>509044</v>
      </c>
      <c r="G538" s="101"/>
      <c r="H538" s="101"/>
      <c r="I538" s="101"/>
      <c r="J538" s="101"/>
      <c r="K538" s="101"/>
      <c r="L538" s="101"/>
      <c r="M538" s="101"/>
      <c r="N538" s="101"/>
      <c r="O538" s="101"/>
      <c r="P538" s="101">
        <f t="shared" si="201"/>
        <v>509044</v>
      </c>
      <c r="Q538" s="101">
        <v>0</v>
      </c>
      <c r="R538" s="101">
        <f t="shared" si="203"/>
        <v>99.812549019607843</v>
      </c>
    </row>
    <row r="539" spans="2:18">
      <c r="B539" s="4" t="s">
        <v>507</v>
      </c>
      <c r="C539" s="2"/>
      <c r="D539" s="111">
        <v>100000</v>
      </c>
      <c r="E539" s="101">
        <v>100000</v>
      </c>
      <c r="F539" s="101">
        <v>0</v>
      </c>
      <c r="G539" s="101"/>
      <c r="H539" s="101"/>
      <c r="I539" s="101"/>
      <c r="J539" s="101"/>
      <c r="K539" s="101"/>
      <c r="L539" s="101"/>
      <c r="M539" s="101"/>
      <c r="N539" s="101"/>
      <c r="O539" s="101"/>
      <c r="P539" s="101">
        <f t="shared" ref="P539:P542" si="204">SUM(F539:O539)</f>
        <v>0</v>
      </c>
      <c r="Q539" s="101">
        <f t="shared" ref="Q539:Q542" si="205">(P539/D539)*100</f>
        <v>0</v>
      </c>
      <c r="R539" s="101">
        <f t="shared" ref="R539:R542" si="206">(P539/E539)*100</f>
        <v>0</v>
      </c>
    </row>
    <row r="540" spans="2:18">
      <c r="B540" s="4" t="s">
        <v>518</v>
      </c>
      <c r="C540" s="2"/>
      <c r="D540" s="111">
        <v>110000</v>
      </c>
      <c r="E540" s="101">
        <v>110000</v>
      </c>
      <c r="F540" s="101">
        <v>0</v>
      </c>
      <c r="G540" s="101"/>
      <c r="H540" s="101"/>
      <c r="I540" s="101"/>
      <c r="J540" s="101"/>
      <c r="K540" s="101"/>
      <c r="L540" s="101"/>
      <c r="M540" s="101"/>
      <c r="N540" s="101"/>
      <c r="O540" s="101"/>
      <c r="P540" s="101">
        <f t="shared" si="204"/>
        <v>0</v>
      </c>
      <c r="Q540" s="101">
        <f t="shared" si="205"/>
        <v>0</v>
      </c>
      <c r="R540" s="101">
        <f t="shared" si="206"/>
        <v>0</v>
      </c>
    </row>
    <row r="541" spans="2:18">
      <c r="B541" s="4" t="s">
        <v>526</v>
      </c>
      <c r="C541" s="2"/>
      <c r="D541" s="111">
        <v>300000</v>
      </c>
      <c r="E541" s="101">
        <v>300000</v>
      </c>
      <c r="F541" s="101">
        <v>159000</v>
      </c>
      <c r="G541" s="101"/>
      <c r="H541" s="101"/>
      <c r="I541" s="101"/>
      <c r="J541" s="101"/>
      <c r="K541" s="101"/>
      <c r="L541" s="101"/>
      <c r="M541" s="101"/>
      <c r="N541" s="101"/>
      <c r="O541" s="101"/>
      <c r="P541" s="101">
        <f t="shared" si="204"/>
        <v>159000</v>
      </c>
      <c r="Q541" s="101">
        <f t="shared" si="205"/>
        <v>53</v>
      </c>
      <c r="R541" s="101">
        <f t="shared" si="206"/>
        <v>53</v>
      </c>
    </row>
    <row r="542" spans="2:18">
      <c r="B542" s="4" t="s">
        <v>525</v>
      </c>
      <c r="C542" s="2"/>
      <c r="D542" s="111">
        <v>0</v>
      </c>
      <c r="E542" s="101">
        <v>0</v>
      </c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>
        <f t="shared" si="204"/>
        <v>0</v>
      </c>
      <c r="Q542" s="101" t="e">
        <f t="shared" si="205"/>
        <v>#DIV/0!</v>
      </c>
      <c r="R542" s="101" t="e">
        <f t="shared" si="206"/>
        <v>#DIV/0!</v>
      </c>
    </row>
    <row r="543" spans="2:18">
      <c r="B543" s="69" t="s">
        <v>3</v>
      </c>
      <c r="C543" s="2"/>
      <c r="D543" s="213">
        <f>SUM(D503:D542)</f>
        <v>27616000</v>
      </c>
      <c r="E543" s="213">
        <f t="shared" ref="E543:P543" si="207">SUM(E503:E542)</f>
        <v>27639800</v>
      </c>
      <c r="F543" s="213">
        <f t="shared" si="207"/>
        <v>6632094.6400000006</v>
      </c>
      <c r="G543" s="213">
        <f t="shared" si="207"/>
        <v>0</v>
      </c>
      <c r="H543" s="213">
        <f t="shared" si="207"/>
        <v>0</v>
      </c>
      <c r="I543" s="213">
        <f t="shared" si="207"/>
        <v>0</v>
      </c>
      <c r="J543" s="213">
        <f t="shared" si="207"/>
        <v>0</v>
      </c>
      <c r="K543" s="213">
        <f t="shared" si="207"/>
        <v>0</v>
      </c>
      <c r="L543" s="213">
        <f t="shared" si="207"/>
        <v>0</v>
      </c>
      <c r="M543" s="213">
        <f t="shared" si="207"/>
        <v>0</v>
      </c>
      <c r="N543" s="213">
        <f t="shared" si="207"/>
        <v>0</v>
      </c>
      <c r="O543" s="213">
        <f t="shared" si="207"/>
        <v>0</v>
      </c>
      <c r="P543" s="213">
        <f t="shared" si="207"/>
        <v>6632094.6400000006</v>
      </c>
      <c r="Q543" s="213">
        <f>(P543/D543)*100</f>
        <v>24.015406431054465</v>
      </c>
      <c r="R543" s="213">
        <f>(P543/E543)*100</f>
        <v>23.994727313511678</v>
      </c>
    </row>
    <row r="546" spans="1:18" ht="38.25">
      <c r="A546" s="12" t="s">
        <v>156</v>
      </c>
      <c r="B546" s="77" t="s">
        <v>390</v>
      </c>
      <c r="C546" s="2"/>
      <c r="D546" s="85" t="s">
        <v>490</v>
      </c>
      <c r="E546" s="203" t="s">
        <v>493</v>
      </c>
      <c r="F546" s="204" t="s">
        <v>492</v>
      </c>
      <c r="G546" s="204" t="s">
        <v>497</v>
      </c>
      <c r="H546" s="204" t="s">
        <v>505</v>
      </c>
      <c r="I546" s="204" t="s">
        <v>498</v>
      </c>
      <c r="J546" s="204" t="s">
        <v>499</v>
      </c>
      <c r="K546" s="204" t="s">
        <v>500</v>
      </c>
      <c r="L546" s="204" t="s">
        <v>501</v>
      </c>
      <c r="M546" s="204" t="s">
        <v>502</v>
      </c>
      <c r="N546" s="204" t="s">
        <v>503</v>
      </c>
      <c r="O546" s="204" t="s">
        <v>504</v>
      </c>
      <c r="P546" s="204" t="s">
        <v>496</v>
      </c>
      <c r="Q546" s="204" t="s">
        <v>543</v>
      </c>
      <c r="R546" s="205" t="s">
        <v>495</v>
      </c>
    </row>
    <row r="547" spans="1:18">
      <c r="A547" s="12" t="s">
        <v>311</v>
      </c>
      <c r="B547" s="6" t="s">
        <v>172</v>
      </c>
      <c r="C547" s="2"/>
      <c r="D547" s="111">
        <v>80000</v>
      </c>
      <c r="E547" s="230">
        <v>80000</v>
      </c>
      <c r="F547" s="101">
        <v>21274.73</v>
      </c>
      <c r="G547" s="101"/>
      <c r="H547" s="101"/>
      <c r="I547" s="101"/>
      <c r="J547" s="101"/>
      <c r="K547" s="101"/>
      <c r="L547" s="101"/>
      <c r="M547" s="101"/>
      <c r="N547" s="101"/>
      <c r="O547" s="101"/>
      <c r="P547" s="101">
        <f>SUM(F547:O547)</f>
        <v>21274.73</v>
      </c>
      <c r="Q547" s="101">
        <f>(P547/D547)*100</f>
        <v>26.593412500000003</v>
      </c>
      <c r="R547" s="101">
        <f>(P547/E547)*100</f>
        <v>26.593412500000003</v>
      </c>
    </row>
    <row r="548" spans="1:18">
      <c r="A548" s="13"/>
      <c r="B548" s="5" t="s">
        <v>3</v>
      </c>
      <c r="C548" s="2"/>
      <c r="D548" s="213">
        <f>SUM(D547)</f>
        <v>80000</v>
      </c>
      <c r="E548" s="213">
        <f t="shared" ref="E548:P548" si="208">SUM(E547)</f>
        <v>80000</v>
      </c>
      <c r="F548" s="213">
        <f t="shared" si="208"/>
        <v>21274.73</v>
      </c>
      <c r="G548" s="213">
        <f t="shared" si="208"/>
        <v>0</v>
      </c>
      <c r="H548" s="213">
        <f t="shared" si="208"/>
        <v>0</v>
      </c>
      <c r="I548" s="213">
        <f t="shared" si="208"/>
        <v>0</v>
      </c>
      <c r="J548" s="213">
        <f t="shared" si="208"/>
        <v>0</v>
      </c>
      <c r="K548" s="213">
        <f t="shared" si="208"/>
        <v>0</v>
      </c>
      <c r="L548" s="213">
        <f t="shared" si="208"/>
        <v>0</v>
      </c>
      <c r="M548" s="213">
        <f t="shared" si="208"/>
        <v>0</v>
      </c>
      <c r="N548" s="213">
        <f t="shared" si="208"/>
        <v>0</v>
      </c>
      <c r="O548" s="213">
        <f t="shared" si="208"/>
        <v>0</v>
      </c>
      <c r="P548" s="213">
        <f t="shared" si="208"/>
        <v>21274.73</v>
      </c>
      <c r="Q548" s="213">
        <f>(P548/D548)*100</f>
        <v>26.593412500000003</v>
      </c>
      <c r="R548" s="213">
        <f>(P548/E548)*100</f>
        <v>26.593412500000003</v>
      </c>
    </row>
    <row r="551" spans="1:18" ht="38.25">
      <c r="A551" s="12" t="s">
        <v>156</v>
      </c>
      <c r="B551" s="77" t="s">
        <v>391</v>
      </c>
      <c r="C551" s="2"/>
      <c r="D551" s="85" t="s">
        <v>490</v>
      </c>
      <c r="E551" s="203" t="s">
        <v>493</v>
      </c>
      <c r="F551" s="204" t="s">
        <v>492</v>
      </c>
      <c r="G551" s="204" t="s">
        <v>497</v>
      </c>
      <c r="H551" s="204" t="s">
        <v>505</v>
      </c>
      <c r="I551" s="204" t="s">
        <v>498</v>
      </c>
      <c r="J551" s="204" t="s">
        <v>499</v>
      </c>
      <c r="K551" s="204" t="s">
        <v>500</v>
      </c>
      <c r="L551" s="204" t="s">
        <v>501</v>
      </c>
      <c r="M551" s="204" t="s">
        <v>502</v>
      </c>
      <c r="N551" s="204" t="s">
        <v>503</v>
      </c>
      <c r="O551" s="204" t="s">
        <v>504</v>
      </c>
      <c r="P551" s="204" t="s">
        <v>496</v>
      </c>
      <c r="Q551" s="204" t="s">
        <v>543</v>
      </c>
      <c r="R551" s="205" t="s">
        <v>495</v>
      </c>
    </row>
    <row r="552" spans="1:18">
      <c r="A552" s="237" t="s">
        <v>313</v>
      </c>
      <c r="B552" s="238" t="s">
        <v>314</v>
      </c>
      <c r="C552" s="2"/>
      <c r="D552" s="111">
        <v>600000</v>
      </c>
      <c r="E552" s="230">
        <v>600000</v>
      </c>
      <c r="F552" s="101">
        <v>0</v>
      </c>
      <c r="G552" s="101"/>
      <c r="H552" s="101"/>
      <c r="I552" s="101"/>
      <c r="J552" s="101"/>
      <c r="K552" s="101"/>
      <c r="L552" s="101"/>
      <c r="M552" s="101"/>
      <c r="N552" s="101"/>
      <c r="O552" s="101"/>
      <c r="P552" s="101">
        <f>SUM(F552:O552)</f>
        <v>0</v>
      </c>
      <c r="Q552" s="101">
        <f>(P552/D552)*100</f>
        <v>0</v>
      </c>
      <c r="R552" s="101">
        <f>(P552/E552)*100</f>
        <v>0</v>
      </c>
    </row>
    <row r="553" spans="1:18">
      <c r="A553" s="239" t="s">
        <v>527</v>
      </c>
      <c r="B553" s="71" t="s">
        <v>315</v>
      </c>
      <c r="C553" s="2"/>
      <c r="D553" s="111">
        <v>0</v>
      </c>
      <c r="E553" s="230">
        <v>200000000</v>
      </c>
      <c r="F553" s="101">
        <v>37697027.240000002</v>
      </c>
      <c r="G553" s="101"/>
      <c r="H553" s="101"/>
      <c r="I553" s="101"/>
      <c r="J553" s="101"/>
      <c r="K553" s="101"/>
      <c r="L553" s="101"/>
      <c r="M553" s="101"/>
      <c r="N553" s="101"/>
      <c r="O553" s="101"/>
      <c r="P553" s="101">
        <f>SUM(F553:O553)</f>
        <v>37697027.240000002</v>
      </c>
      <c r="Q553" s="101">
        <v>0</v>
      </c>
      <c r="R553" s="101">
        <f>(P553/E553)*100</f>
        <v>18.848513620000002</v>
      </c>
    </row>
    <row r="554" spans="1:18">
      <c r="B554" s="5" t="s">
        <v>3</v>
      </c>
      <c r="C554" s="2"/>
      <c r="D554" s="213">
        <f>SUM(D552:D553)</f>
        <v>600000</v>
      </c>
      <c r="E554" s="213">
        <f t="shared" ref="E554:P554" si="209">SUM(E552:E553)</f>
        <v>200600000</v>
      </c>
      <c r="F554" s="213">
        <f t="shared" si="209"/>
        <v>37697027.240000002</v>
      </c>
      <c r="G554" s="213">
        <f t="shared" si="209"/>
        <v>0</v>
      </c>
      <c r="H554" s="213">
        <f t="shared" si="209"/>
        <v>0</v>
      </c>
      <c r="I554" s="213">
        <f t="shared" si="209"/>
        <v>0</v>
      </c>
      <c r="J554" s="213">
        <f t="shared" si="209"/>
        <v>0</v>
      </c>
      <c r="K554" s="213">
        <f t="shared" si="209"/>
        <v>0</v>
      </c>
      <c r="L554" s="213">
        <f t="shared" si="209"/>
        <v>0</v>
      </c>
      <c r="M554" s="213">
        <f t="shared" si="209"/>
        <v>0</v>
      </c>
      <c r="N554" s="213">
        <f t="shared" si="209"/>
        <v>0</v>
      </c>
      <c r="O554" s="213">
        <f t="shared" si="209"/>
        <v>0</v>
      </c>
      <c r="P554" s="213">
        <f t="shared" si="209"/>
        <v>37697027.240000002</v>
      </c>
      <c r="Q554" s="213">
        <f>(P554/D554)*100</f>
        <v>6282.8378733333338</v>
      </c>
      <c r="R554" s="213">
        <f>(P554/E554)*100</f>
        <v>18.792137208374875</v>
      </c>
    </row>
    <row r="555" spans="1:18" ht="15.75">
      <c r="B555" s="210"/>
      <c r="C555" s="2"/>
    </row>
    <row r="557" spans="1:18" ht="38.25">
      <c r="A557" s="12" t="s">
        <v>156</v>
      </c>
      <c r="B557" s="77" t="s">
        <v>393</v>
      </c>
      <c r="C557" s="2"/>
      <c r="D557" s="85" t="s">
        <v>490</v>
      </c>
      <c r="E557" s="203" t="s">
        <v>493</v>
      </c>
      <c r="F557" s="204" t="s">
        <v>492</v>
      </c>
      <c r="G557" s="204" t="s">
        <v>497</v>
      </c>
      <c r="H557" s="204" t="s">
        <v>505</v>
      </c>
      <c r="I557" s="204" t="s">
        <v>498</v>
      </c>
      <c r="J557" s="204" t="s">
        <v>499</v>
      </c>
      <c r="K557" s="204" t="s">
        <v>500</v>
      </c>
      <c r="L557" s="204" t="s">
        <v>501</v>
      </c>
      <c r="M557" s="204" t="s">
        <v>502</v>
      </c>
      <c r="N557" s="204" t="s">
        <v>503</v>
      </c>
      <c r="O557" s="204" t="s">
        <v>504</v>
      </c>
      <c r="P557" s="204" t="s">
        <v>496</v>
      </c>
      <c r="Q557" s="204" t="s">
        <v>543</v>
      </c>
      <c r="R557" s="205" t="s">
        <v>495</v>
      </c>
    </row>
    <row r="558" spans="1:18">
      <c r="A558" s="12" t="s">
        <v>312</v>
      </c>
      <c r="B558" s="6" t="s">
        <v>174</v>
      </c>
      <c r="C558" s="2"/>
      <c r="D558" s="111">
        <v>2000000</v>
      </c>
      <c r="E558" s="230">
        <v>2000000</v>
      </c>
      <c r="F558" s="101">
        <v>286887</v>
      </c>
      <c r="G558" s="101"/>
      <c r="H558" s="101"/>
      <c r="I558" s="101"/>
      <c r="J558" s="101"/>
      <c r="K558" s="101"/>
      <c r="L558" s="101"/>
      <c r="M558" s="101"/>
      <c r="N558" s="101"/>
      <c r="O558" s="101"/>
      <c r="P558" s="101">
        <f>SUM(F558:O558)</f>
        <v>286887</v>
      </c>
      <c r="Q558" s="101">
        <f>(P558/D558)*100</f>
        <v>14.34435</v>
      </c>
      <c r="R558" s="101">
        <f>(P558/E558)*100</f>
        <v>14.34435</v>
      </c>
    </row>
    <row r="559" spans="1:18">
      <c r="B559" s="5" t="s">
        <v>3</v>
      </c>
      <c r="C559" s="2"/>
      <c r="D559" s="213">
        <f>SUM(D558)</f>
        <v>2000000</v>
      </c>
      <c r="E559" s="213">
        <f t="shared" ref="E559:P559" si="210">SUM(E558)</f>
        <v>2000000</v>
      </c>
      <c r="F559" s="213">
        <f t="shared" si="210"/>
        <v>286887</v>
      </c>
      <c r="G559" s="213">
        <f t="shared" si="210"/>
        <v>0</v>
      </c>
      <c r="H559" s="213">
        <f t="shared" si="210"/>
        <v>0</v>
      </c>
      <c r="I559" s="213">
        <f t="shared" si="210"/>
        <v>0</v>
      </c>
      <c r="J559" s="213">
        <f t="shared" si="210"/>
        <v>0</v>
      </c>
      <c r="K559" s="213">
        <f t="shared" si="210"/>
        <v>0</v>
      </c>
      <c r="L559" s="213">
        <f t="shared" si="210"/>
        <v>0</v>
      </c>
      <c r="M559" s="213">
        <f t="shared" si="210"/>
        <v>0</v>
      </c>
      <c r="N559" s="213">
        <f t="shared" si="210"/>
        <v>0</v>
      </c>
      <c r="O559" s="213">
        <f t="shared" si="210"/>
        <v>0</v>
      </c>
      <c r="P559" s="213">
        <f t="shared" si="210"/>
        <v>286887</v>
      </c>
      <c r="Q559" s="213">
        <f>(P559/D559)*100</f>
        <v>14.34435</v>
      </c>
      <c r="R559" s="213">
        <f>(P559/E559)*100</f>
        <v>14.34435</v>
      </c>
    </row>
    <row r="562" spans="1:18" ht="38.25">
      <c r="A562" s="12" t="s">
        <v>156</v>
      </c>
      <c r="B562" s="77" t="s">
        <v>155</v>
      </c>
      <c r="C562" s="2"/>
      <c r="D562" s="85" t="s">
        <v>490</v>
      </c>
      <c r="E562" s="203" t="s">
        <v>493</v>
      </c>
      <c r="F562" s="204" t="s">
        <v>492</v>
      </c>
      <c r="G562" s="204" t="s">
        <v>497</v>
      </c>
      <c r="H562" s="204" t="s">
        <v>505</v>
      </c>
      <c r="I562" s="204" t="s">
        <v>498</v>
      </c>
      <c r="J562" s="204" t="s">
        <v>499</v>
      </c>
      <c r="K562" s="204" t="s">
        <v>500</v>
      </c>
      <c r="L562" s="204" t="s">
        <v>501</v>
      </c>
      <c r="M562" s="204" t="s">
        <v>502</v>
      </c>
      <c r="N562" s="204" t="s">
        <v>503</v>
      </c>
      <c r="O562" s="204" t="s">
        <v>504</v>
      </c>
      <c r="P562" s="204" t="s">
        <v>496</v>
      </c>
      <c r="Q562" s="204" t="s">
        <v>543</v>
      </c>
      <c r="R562" s="205" t="s">
        <v>495</v>
      </c>
    </row>
    <row r="563" spans="1:18" ht="25.5">
      <c r="A563" s="12" t="s">
        <v>323</v>
      </c>
      <c r="B563" s="74" t="s">
        <v>528</v>
      </c>
      <c r="C563" s="2"/>
      <c r="D563" s="111">
        <v>14500</v>
      </c>
      <c r="E563" s="230">
        <v>27000</v>
      </c>
      <c r="F563" s="101">
        <v>26368.05</v>
      </c>
      <c r="G563" s="101"/>
      <c r="H563" s="101"/>
      <c r="I563" s="101"/>
      <c r="J563" s="101"/>
      <c r="K563" s="101"/>
      <c r="L563" s="101"/>
      <c r="M563" s="101"/>
      <c r="N563" s="101"/>
      <c r="O563" s="101"/>
      <c r="P563" s="101">
        <f>SUM(F563:O563)</f>
        <v>26368.05</v>
      </c>
      <c r="Q563" s="101">
        <f>(P563/D563)*100</f>
        <v>181.84862068965518</v>
      </c>
      <c r="R563" s="101">
        <f>(P563/E563)*100</f>
        <v>97.659444444444446</v>
      </c>
    </row>
    <row r="564" spans="1:18">
      <c r="B564" s="5" t="s">
        <v>3</v>
      </c>
      <c r="C564" s="2"/>
      <c r="D564" s="213">
        <f>SUM(D563)</f>
        <v>14500</v>
      </c>
      <c r="E564" s="213">
        <f t="shared" ref="E564:P564" si="211">SUM(E563)</f>
        <v>27000</v>
      </c>
      <c r="F564" s="213">
        <f t="shared" si="211"/>
        <v>26368.05</v>
      </c>
      <c r="G564" s="213">
        <f t="shared" si="211"/>
        <v>0</v>
      </c>
      <c r="H564" s="213">
        <f t="shared" si="211"/>
        <v>0</v>
      </c>
      <c r="I564" s="213">
        <f t="shared" si="211"/>
        <v>0</v>
      </c>
      <c r="J564" s="213">
        <f t="shared" si="211"/>
        <v>0</v>
      </c>
      <c r="K564" s="213">
        <f t="shared" si="211"/>
        <v>0</v>
      </c>
      <c r="L564" s="213">
        <f t="shared" si="211"/>
        <v>0</v>
      </c>
      <c r="M564" s="213">
        <f t="shared" si="211"/>
        <v>0</v>
      </c>
      <c r="N564" s="213">
        <f t="shared" si="211"/>
        <v>0</v>
      </c>
      <c r="O564" s="213">
        <f t="shared" si="211"/>
        <v>0</v>
      </c>
      <c r="P564" s="213">
        <f t="shared" si="211"/>
        <v>26368.05</v>
      </c>
      <c r="Q564" s="213">
        <f>(P564/D564)*100</f>
        <v>181.84862068965518</v>
      </c>
      <c r="R564" s="213">
        <f>(P564/E564)*100</f>
        <v>97.659444444444446</v>
      </c>
    </row>
    <row r="567" spans="1:18" ht="38.25">
      <c r="A567" s="12" t="s">
        <v>156</v>
      </c>
      <c r="B567" s="77" t="s">
        <v>394</v>
      </c>
      <c r="C567" s="2"/>
      <c r="D567" s="85" t="s">
        <v>490</v>
      </c>
      <c r="E567" s="203" t="s">
        <v>493</v>
      </c>
      <c r="F567" s="204" t="s">
        <v>492</v>
      </c>
      <c r="G567" s="204" t="s">
        <v>497</v>
      </c>
      <c r="H567" s="204" t="s">
        <v>505</v>
      </c>
      <c r="I567" s="204" t="s">
        <v>498</v>
      </c>
      <c r="J567" s="204" t="s">
        <v>499</v>
      </c>
      <c r="K567" s="204" t="s">
        <v>500</v>
      </c>
      <c r="L567" s="204" t="s">
        <v>501</v>
      </c>
      <c r="M567" s="204" t="s">
        <v>502</v>
      </c>
      <c r="N567" s="204" t="s">
        <v>503</v>
      </c>
      <c r="O567" s="204" t="s">
        <v>504</v>
      </c>
      <c r="P567" s="204" t="s">
        <v>496</v>
      </c>
      <c r="Q567" s="204" t="s">
        <v>543</v>
      </c>
      <c r="R567" s="205" t="s">
        <v>495</v>
      </c>
    </row>
    <row r="568" spans="1:18" ht="24.75">
      <c r="A568" s="12" t="s">
        <v>316</v>
      </c>
      <c r="B568" s="232" t="s">
        <v>529</v>
      </c>
      <c r="C568" s="2"/>
      <c r="D568" s="111"/>
      <c r="E568" s="230">
        <v>21000</v>
      </c>
      <c r="F568" s="101">
        <v>20125</v>
      </c>
      <c r="G568" s="101"/>
      <c r="H568" s="101"/>
      <c r="I568" s="101"/>
      <c r="J568" s="101"/>
      <c r="K568" s="101"/>
      <c r="L568" s="101"/>
      <c r="M568" s="101"/>
      <c r="N568" s="101"/>
      <c r="O568" s="101"/>
      <c r="P568" s="101">
        <f>SUM(F568:O568)</f>
        <v>20125</v>
      </c>
      <c r="Q568" s="101" t="e">
        <f>(P568/D568)*100</f>
        <v>#DIV/0!</v>
      </c>
      <c r="R568" s="101">
        <f>(P568/E568)*100</f>
        <v>95.833333333333343</v>
      </c>
    </row>
    <row r="569" spans="1:18" ht="36.75">
      <c r="A569" s="12"/>
      <c r="B569" s="73" t="s">
        <v>317</v>
      </c>
      <c r="C569" s="2"/>
      <c r="D569" s="111">
        <v>185000</v>
      </c>
      <c r="E569" s="230">
        <v>164000</v>
      </c>
      <c r="F569" s="101">
        <v>76360</v>
      </c>
      <c r="G569" s="101"/>
      <c r="H569" s="101"/>
      <c r="I569" s="101"/>
      <c r="J569" s="101"/>
      <c r="K569" s="101"/>
      <c r="L569" s="101"/>
      <c r="M569" s="101"/>
      <c r="N569" s="101"/>
      <c r="O569" s="101"/>
      <c r="P569" s="101">
        <f>SUM(F569:O569)</f>
        <v>76360</v>
      </c>
      <c r="Q569" s="101">
        <f>(P569/D569)*100</f>
        <v>41.275675675675679</v>
      </c>
      <c r="R569" s="101">
        <f>(P569/E569)*100</f>
        <v>46.560975609756099</v>
      </c>
    </row>
    <row r="570" spans="1:18">
      <c r="B570" s="5" t="s">
        <v>3</v>
      </c>
      <c r="C570" s="2"/>
      <c r="D570" s="213">
        <f>SUM(D568:D569)</f>
        <v>185000</v>
      </c>
      <c r="E570" s="213">
        <f t="shared" ref="E570:P570" si="212">SUM(E568:E569)</f>
        <v>185000</v>
      </c>
      <c r="F570" s="213">
        <f t="shared" si="212"/>
        <v>96485</v>
      </c>
      <c r="G570" s="213">
        <f t="shared" si="212"/>
        <v>0</v>
      </c>
      <c r="H570" s="213">
        <f t="shared" si="212"/>
        <v>0</v>
      </c>
      <c r="I570" s="213">
        <f t="shared" si="212"/>
        <v>0</v>
      </c>
      <c r="J570" s="213">
        <f t="shared" si="212"/>
        <v>0</v>
      </c>
      <c r="K570" s="213">
        <f t="shared" si="212"/>
        <v>0</v>
      </c>
      <c r="L570" s="213">
        <f t="shared" si="212"/>
        <v>0</v>
      </c>
      <c r="M570" s="213">
        <f t="shared" si="212"/>
        <v>0</v>
      </c>
      <c r="N570" s="213">
        <f t="shared" si="212"/>
        <v>0</v>
      </c>
      <c r="O570" s="213">
        <f t="shared" si="212"/>
        <v>0</v>
      </c>
      <c r="P570" s="213">
        <f t="shared" si="212"/>
        <v>96485</v>
      </c>
      <c r="Q570" s="213">
        <f>(P570/D570)*100</f>
        <v>52.154054054054058</v>
      </c>
      <c r="R570" s="213">
        <f>(P570/E570)*100</f>
        <v>52.154054054054058</v>
      </c>
    </row>
    <row r="573" spans="1:18" ht="38.25">
      <c r="A573" s="12" t="s">
        <v>156</v>
      </c>
      <c r="B573" s="77" t="s">
        <v>318</v>
      </c>
      <c r="C573" s="2"/>
      <c r="D573" s="85" t="s">
        <v>490</v>
      </c>
      <c r="E573" s="203" t="s">
        <v>493</v>
      </c>
      <c r="F573" s="204" t="s">
        <v>492</v>
      </c>
      <c r="G573" s="204" t="s">
        <v>497</v>
      </c>
      <c r="H573" s="204" t="s">
        <v>505</v>
      </c>
      <c r="I573" s="204" t="s">
        <v>498</v>
      </c>
      <c r="J573" s="204" t="s">
        <v>499</v>
      </c>
      <c r="K573" s="204" t="s">
        <v>500</v>
      </c>
      <c r="L573" s="204" t="s">
        <v>501</v>
      </c>
      <c r="M573" s="204" t="s">
        <v>502</v>
      </c>
      <c r="N573" s="204" t="s">
        <v>503</v>
      </c>
      <c r="O573" s="204" t="s">
        <v>504</v>
      </c>
      <c r="P573" s="204" t="s">
        <v>496</v>
      </c>
      <c r="Q573" s="204" t="s">
        <v>543</v>
      </c>
      <c r="R573" s="205" t="s">
        <v>495</v>
      </c>
    </row>
    <row r="574" spans="1:18" ht="25.5">
      <c r="A574" s="12" t="s">
        <v>319</v>
      </c>
      <c r="B574" s="74" t="s">
        <v>395</v>
      </c>
      <c r="C574" s="2"/>
      <c r="D574" s="111">
        <v>50000</v>
      </c>
      <c r="E574" s="230">
        <v>50000</v>
      </c>
      <c r="F574" s="101">
        <v>0</v>
      </c>
      <c r="G574" s="101"/>
      <c r="H574" s="101"/>
      <c r="I574" s="101"/>
      <c r="J574" s="101"/>
      <c r="K574" s="101"/>
      <c r="L574" s="101"/>
      <c r="M574" s="101"/>
      <c r="N574" s="101"/>
      <c r="O574" s="101"/>
      <c r="P574" s="101">
        <f>SUM(F574:O574)</f>
        <v>0</v>
      </c>
      <c r="Q574" s="101">
        <f>(P574/D574)*100</f>
        <v>0</v>
      </c>
      <c r="R574" s="101">
        <f>(P574/E574)*100</f>
        <v>0</v>
      </c>
    </row>
    <row r="575" spans="1:18">
      <c r="A575" s="12" t="s">
        <v>320</v>
      </c>
      <c r="B575" s="3" t="s">
        <v>321</v>
      </c>
      <c r="C575" s="2"/>
      <c r="D575" s="111">
        <v>50000</v>
      </c>
      <c r="E575" s="101">
        <v>50000</v>
      </c>
      <c r="F575" s="101">
        <v>0</v>
      </c>
      <c r="G575" s="101"/>
      <c r="H575" s="101"/>
      <c r="I575" s="101"/>
      <c r="J575" s="101"/>
      <c r="K575" s="101"/>
      <c r="L575" s="101"/>
      <c r="M575" s="101"/>
      <c r="N575" s="101"/>
      <c r="O575" s="101"/>
      <c r="P575" s="101">
        <f t="shared" ref="P575:P576" si="213">SUM(F575:O575)</f>
        <v>0</v>
      </c>
      <c r="Q575" s="101">
        <f t="shared" ref="Q575:Q576" si="214">(P575/D575)*100</f>
        <v>0</v>
      </c>
      <c r="R575" s="101">
        <f t="shared" ref="R575:R576" si="215">(P575/E575)*100</f>
        <v>0</v>
      </c>
    </row>
    <row r="576" spans="1:18">
      <c r="A576" s="12" t="s">
        <v>291</v>
      </c>
      <c r="B576" s="3" t="s">
        <v>322</v>
      </c>
      <c r="C576" s="2"/>
      <c r="D576" s="111">
        <v>150000</v>
      </c>
      <c r="E576" s="101">
        <v>150000</v>
      </c>
      <c r="F576" s="101">
        <v>0</v>
      </c>
      <c r="G576" s="101"/>
      <c r="H576" s="101"/>
      <c r="I576" s="101"/>
      <c r="J576" s="101"/>
      <c r="K576" s="101"/>
      <c r="L576" s="101"/>
      <c r="M576" s="101"/>
      <c r="N576" s="101"/>
      <c r="O576" s="101"/>
      <c r="P576" s="101">
        <f t="shared" si="213"/>
        <v>0</v>
      </c>
      <c r="Q576" s="101">
        <f t="shared" si="214"/>
        <v>0</v>
      </c>
      <c r="R576" s="101">
        <f t="shared" si="215"/>
        <v>0</v>
      </c>
    </row>
    <row r="577" spans="2:18">
      <c r="B577" s="5" t="s">
        <v>3</v>
      </c>
      <c r="C577" s="2"/>
      <c r="D577" s="213">
        <f>SUM(D574:D576)</f>
        <v>250000</v>
      </c>
      <c r="E577" s="213">
        <f t="shared" ref="E577:P577" si="216">SUM(E574:E576)</f>
        <v>250000</v>
      </c>
      <c r="F577" s="213">
        <f t="shared" si="216"/>
        <v>0</v>
      </c>
      <c r="G577" s="213">
        <f t="shared" si="216"/>
        <v>0</v>
      </c>
      <c r="H577" s="213">
        <f t="shared" si="216"/>
        <v>0</v>
      </c>
      <c r="I577" s="213">
        <f t="shared" si="216"/>
        <v>0</v>
      </c>
      <c r="J577" s="213">
        <f t="shared" si="216"/>
        <v>0</v>
      </c>
      <c r="K577" s="213">
        <f t="shared" si="216"/>
        <v>0</v>
      </c>
      <c r="L577" s="213">
        <f t="shared" si="216"/>
        <v>0</v>
      </c>
      <c r="M577" s="213">
        <f t="shared" si="216"/>
        <v>0</v>
      </c>
      <c r="N577" s="213">
        <f t="shared" si="216"/>
        <v>0</v>
      </c>
      <c r="O577" s="213">
        <f t="shared" si="216"/>
        <v>0</v>
      </c>
      <c r="P577" s="213">
        <f t="shared" si="216"/>
        <v>0</v>
      </c>
      <c r="Q577" s="213">
        <f>(P577/D577)*100</f>
        <v>0</v>
      </c>
      <c r="R577" s="213">
        <f>(P577/E577)*100</f>
        <v>0</v>
      </c>
    </row>
    <row r="581" spans="2:18" ht="38.25">
      <c r="B581" s="243" t="s">
        <v>538</v>
      </c>
      <c r="D581" s="85" t="s">
        <v>490</v>
      </c>
      <c r="E581" s="203" t="s">
        <v>493</v>
      </c>
      <c r="F581" s="204" t="s">
        <v>492</v>
      </c>
      <c r="G581" s="204" t="s">
        <v>497</v>
      </c>
      <c r="H581" s="204" t="s">
        <v>505</v>
      </c>
      <c r="I581" s="204" t="s">
        <v>498</v>
      </c>
      <c r="J581" s="204" t="s">
        <v>499</v>
      </c>
      <c r="K581" s="204" t="s">
        <v>500</v>
      </c>
      <c r="L581" s="204" t="s">
        <v>501</v>
      </c>
      <c r="M581" s="204" t="s">
        <v>502</v>
      </c>
      <c r="N581" s="204" t="s">
        <v>503</v>
      </c>
      <c r="O581" s="204" t="s">
        <v>504</v>
      </c>
      <c r="P581" s="204" t="s">
        <v>496</v>
      </c>
      <c r="Q581" s="204" t="s">
        <v>543</v>
      </c>
      <c r="R581" s="205" t="s">
        <v>495</v>
      </c>
    </row>
    <row r="582" spans="2:18">
      <c r="B582" s="244" t="s">
        <v>3</v>
      </c>
      <c r="D582" s="242">
        <f>D12+D35+D40+D52+D57+D64+D71+D78+D107+D134+D187+D223+D233+D239+D247+D252+D256+D263+D268+D276+D281+D289+D294+D324+D336+D341+D349+D356+D361+D366+D371+D379+D407+D414+D428+D448+D455+D460+D481+D490+D499+D543+D548+D554+D559+D564+D570+D577</f>
        <v>109898410</v>
      </c>
      <c r="E582" s="242">
        <f t="shared" ref="E582:P582" si="217">E12+E35+E40+E52+E57+E64+E71+E78+E107+E134+E187+E223+E233+E239+E247+E252+E256+E263+E268+E276+E281+E289+E294+E324+E336+E341+E349+E356+E361+E366+E371+E379+E407+E414+E428+E448+E455+E460+E481+E490+E499+E543+E548+E554+E559+E564+E570+E577</f>
        <v>310408840</v>
      </c>
      <c r="F582" s="242">
        <f t="shared" si="217"/>
        <v>52872141.609999999</v>
      </c>
      <c r="G582" s="242">
        <f t="shared" si="217"/>
        <v>0</v>
      </c>
      <c r="H582" s="242">
        <f t="shared" si="217"/>
        <v>0</v>
      </c>
      <c r="I582" s="242">
        <f t="shared" si="217"/>
        <v>0</v>
      </c>
      <c r="J582" s="242">
        <f t="shared" si="217"/>
        <v>0</v>
      </c>
      <c r="K582" s="242">
        <f t="shared" si="217"/>
        <v>0</v>
      </c>
      <c r="L582" s="242">
        <f t="shared" si="217"/>
        <v>0</v>
      </c>
      <c r="M582" s="242">
        <f t="shared" si="217"/>
        <v>0</v>
      </c>
      <c r="N582" s="242">
        <f t="shared" si="217"/>
        <v>0</v>
      </c>
      <c r="O582" s="242">
        <f t="shared" si="217"/>
        <v>0</v>
      </c>
      <c r="P582" s="242">
        <f t="shared" si="217"/>
        <v>52872141.609999999</v>
      </c>
      <c r="Q582" s="213">
        <f>(P582/D582)*100</f>
        <v>48.110015067551934</v>
      </c>
      <c r="R582" s="213">
        <f>(P582/E582)*100</f>
        <v>17.033065685242725</v>
      </c>
    </row>
  </sheetData>
  <sheetProtection password="CC33" sheet="1" objects="1" scenarios="1"/>
  <mergeCells count="1">
    <mergeCell ref="A3:B3"/>
  </mergeCells>
  <pageMargins left="0" right="0" top="0.39370078740157483" bottom="0.39370078740157483" header="0.51181102362204722" footer="0.51181102362204722"/>
  <pageSetup paperSize="9" scale="60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Příjmy 2015 shrnutí</vt:lpstr>
      <vt:lpstr>Příjmy 2015 - podrobně</vt:lpstr>
      <vt:lpstr>Výdaje 2015 - shrnutí</vt:lpstr>
      <vt:lpstr>Plán investic 2015</vt:lpstr>
      <vt:lpstr>Výdaje podrobně a dohromady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somolikjaroslav</dc:creator>
  <cp:lastModifiedBy>somolikjaroslav</cp:lastModifiedBy>
  <cp:lastPrinted>2015-04-24T09:17:56Z</cp:lastPrinted>
  <dcterms:created xsi:type="dcterms:W3CDTF">2014-04-09T05:50:31Z</dcterms:created>
  <dcterms:modified xsi:type="dcterms:W3CDTF">2015-04-24T09:21:57Z</dcterms:modified>
</cp:coreProperties>
</file>